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tabRatio="928" activeTab="0"/>
  </bookViews>
  <sheets>
    <sheet name="Zakladni model" sheetId="1" r:id="rId1"/>
    <sheet name="Nespojita poptavka" sheetId="2" r:id="rId2"/>
    <sheet name="RabatA" sheetId="3" r:id="rId3"/>
    <sheet name="RabatB" sheetId="4" r:id="rId4"/>
    <sheet name="Vice_polozek" sheetId="5" r:id="rId5"/>
    <sheet name="Om1_Kapital" sheetId="6" r:id="rId6"/>
    <sheet name="Om2_PocObj" sheetId="7" r:id="rId7"/>
    <sheet name="Om3_sklad" sheetId="8" r:id="rId8"/>
    <sheet name="AgregaceA" sheetId="9" r:id="rId9"/>
    <sheet name="AgregaceB" sheetId="10" r:id="rId10"/>
    <sheet name="Nedostatek_infoOnakl" sheetId="11" r:id="rId11"/>
    <sheet name="Krivka_optStr" sheetId="12" r:id="rId12"/>
    <sheet name="Stoch_obj" sheetId="13" r:id="rId13"/>
  </sheets>
  <definedNames/>
  <calcPr fullCalcOnLoad="1"/>
</workbook>
</file>

<file path=xl/comments1.xml><?xml version="1.0" encoding="utf-8"?>
<comments xmlns="http://schemas.openxmlformats.org/spreadsheetml/2006/main">
  <authors>
    <author>Jakub</author>
  </authors>
  <commentList>
    <comment ref="A16" authorId="0">
      <text>
        <r>
          <rPr>
            <sz val="8"/>
            <rFont val="Tahoma"/>
            <family val="0"/>
          </rPr>
          <t xml:space="preserve">Qopt=odmocnina((2*S*nj)/(T*c*ns))
</t>
        </r>
      </text>
    </comment>
    <comment ref="A17" authorId="0">
      <text>
        <r>
          <rPr>
            <sz val="8"/>
            <rFont val="Tahoma"/>
            <family val="2"/>
          </rPr>
          <t>Nc</t>
        </r>
        <r>
          <rPr>
            <vertAlign val="subscript"/>
            <sz val="8"/>
            <rFont val="Tahoma"/>
            <family val="2"/>
          </rPr>
          <t>Qopt</t>
        </r>
        <r>
          <rPr>
            <sz val="8"/>
            <rFont val="Tahoma"/>
            <family val="2"/>
          </rPr>
          <t>=Qopt/2*T*c*ns+S/Qopt*nj</t>
        </r>
      </text>
    </comment>
    <comment ref="A18" authorId="0">
      <text>
        <r>
          <rPr>
            <sz val="8"/>
            <rFont val="Tahoma"/>
            <family val="0"/>
          </rPr>
          <t>o</t>
        </r>
        <r>
          <rPr>
            <vertAlign val="subscript"/>
            <sz val="8"/>
            <rFont val="Tahoma"/>
            <family val="2"/>
          </rPr>
          <t>Qopt</t>
        </r>
        <r>
          <rPr>
            <sz val="8"/>
            <rFont val="Tahoma"/>
            <family val="0"/>
          </rPr>
          <t xml:space="preserve">=S/Qopt
</t>
        </r>
      </text>
    </comment>
    <comment ref="A19" authorId="0">
      <text>
        <r>
          <rPr>
            <sz val="8"/>
            <rFont val="Tahoma"/>
            <family val="2"/>
          </rPr>
          <t>t</t>
        </r>
        <r>
          <rPr>
            <vertAlign val="subscript"/>
            <sz val="8"/>
            <rFont val="Tahoma"/>
            <family val="2"/>
          </rPr>
          <t>Qopt</t>
        </r>
        <r>
          <rPr>
            <sz val="8"/>
            <rFont val="Tahoma"/>
            <family val="2"/>
          </rPr>
          <t>=T/oQopt</t>
        </r>
      </text>
    </comment>
    <comment ref="A20" authorId="0">
      <text>
        <r>
          <rPr>
            <sz val="8"/>
            <rFont val="Tahoma"/>
            <family val="0"/>
          </rPr>
          <t xml:space="preserve">NskladQopt=Qopt/2*T*c*ns
</t>
        </r>
      </text>
    </comment>
    <comment ref="A21" authorId="0">
      <text>
        <r>
          <rPr>
            <sz val="8"/>
            <rFont val="Tahoma"/>
            <family val="0"/>
          </rPr>
          <t xml:space="preserve">NobjQopt=S/Qopt*nj
</t>
        </r>
      </text>
    </comment>
    <comment ref="B24" authorId="0">
      <text>
        <r>
          <rPr>
            <sz val="8"/>
            <rFont val="Tahoma"/>
            <family val="2"/>
          </rPr>
          <t>Nsklad=Q/2*T*c*ns</t>
        </r>
      </text>
    </comment>
    <comment ref="C24" authorId="0">
      <text>
        <r>
          <rPr>
            <sz val="8"/>
            <rFont val="Tahoma"/>
            <family val="0"/>
          </rPr>
          <t xml:space="preserve">Nobj=S/Q*nj
</t>
        </r>
      </text>
    </comment>
    <comment ref="D24" authorId="0">
      <text>
        <r>
          <rPr>
            <sz val="8"/>
            <rFont val="Tahoma"/>
            <family val="0"/>
          </rPr>
          <t xml:space="preserve">Nc=Q/2*T*c*ns+S/Q*nj
</t>
        </r>
      </text>
    </comment>
  </commentList>
</comments>
</file>

<file path=xl/comments10.xml><?xml version="1.0" encoding="utf-8"?>
<comments xmlns="http://schemas.openxmlformats.org/spreadsheetml/2006/main">
  <authors>
    <author>Jakub</author>
  </authors>
  <commentList>
    <comment ref="D33" authorId="0">
      <text>
        <r>
          <rPr>
            <sz val="8"/>
            <rFont val="Tahoma"/>
            <family val="0"/>
          </rPr>
          <t xml:space="preserve">Qopt=odmocnina((2*Si*(nf+nv))/(T*ci*ns))
</t>
        </r>
      </text>
    </comment>
    <comment ref="E33" authorId="0">
      <text>
        <r>
          <rPr>
            <sz val="8"/>
            <rFont val="Tahoma"/>
            <family val="2"/>
          </rPr>
          <t>Nc</t>
        </r>
        <r>
          <rPr>
            <vertAlign val="subscript"/>
            <sz val="8"/>
            <rFont val="Tahoma"/>
            <family val="2"/>
          </rPr>
          <t>Qopt</t>
        </r>
        <r>
          <rPr>
            <sz val="8"/>
            <rFont val="Tahoma"/>
            <family val="2"/>
          </rPr>
          <t>=Qopt/2*T*ci*ns+Si/Qopt*(nf+nv)</t>
        </r>
      </text>
    </comment>
    <comment ref="F33" authorId="0">
      <text>
        <r>
          <rPr>
            <sz val="8"/>
            <rFont val="Tahoma"/>
            <family val="0"/>
          </rPr>
          <t>o</t>
        </r>
        <r>
          <rPr>
            <vertAlign val="subscript"/>
            <sz val="8"/>
            <rFont val="Tahoma"/>
            <family val="2"/>
          </rPr>
          <t>Qopt</t>
        </r>
        <r>
          <rPr>
            <sz val="8"/>
            <rFont val="Tahoma"/>
            <family val="0"/>
          </rPr>
          <t xml:space="preserve">=Si/Qopt
</t>
        </r>
      </text>
    </comment>
    <comment ref="G33" authorId="0">
      <text>
        <r>
          <rPr>
            <sz val="8"/>
            <rFont val="Tahoma"/>
            <family val="2"/>
          </rPr>
          <t>t</t>
        </r>
        <r>
          <rPr>
            <vertAlign val="subscript"/>
            <sz val="8"/>
            <rFont val="Tahoma"/>
            <family val="2"/>
          </rPr>
          <t>Qopt</t>
        </r>
        <r>
          <rPr>
            <sz val="8"/>
            <rFont val="Tahoma"/>
            <family val="2"/>
          </rPr>
          <t>=T/oQopt</t>
        </r>
      </text>
    </comment>
    <comment ref="I33" authorId="0">
      <text>
        <r>
          <rPr>
            <sz val="8"/>
            <rFont val="Tahoma"/>
            <family val="2"/>
          </rPr>
          <t>Qopt=Si*tc/T</t>
        </r>
      </text>
    </comment>
    <comment ref="K33" authorId="0">
      <text>
        <r>
          <rPr>
            <sz val="8"/>
            <rFont val="Tahoma"/>
            <family val="2"/>
          </rPr>
          <t>Nc=odmocnina(2*T*(nf+k*nv)*suma(Si*ci*ns))</t>
        </r>
      </text>
    </comment>
    <comment ref="K34" authorId="0">
      <text>
        <r>
          <rPr>
            <sz val="8"/>
            <rFont val="Tahoma"/>
            <family val="2"/>
          </rPr>
          <t>tc=odmocnina(2*T*(nf+k*nv)/suma(Si*ci*ns))</t>
        </r>
      </text>
    </comment>
    <comment ref="K35" authorId="0">
      <text>
        <r>
          <rPr>
            <sz val="8"/>
            <rFont val="Tahoma"/>
            <family val="2"/>
          </rPr>
          <t>o=T/tc</t>
        </r>
      </text>
    </comment>
  </commentList>
</comments>
</file>

<file path=xl/comments11.xml><?xml version="1.0" encoding="utf-8"?>
<comments xmlns="http://schemas.openxmlformats.org/spreadsheetml/2006/main">
  <authors>
    <author>Jakub</author>
  </authors>
  <commentList>
    <comment ref="A24" authorId="0">
      <text>
        <r>
          <rPr>
            <sz val="8"/>
            <rFont val="Tahoma"/>
            <family val="2"/>
          </rPr>
          <t>Alfa=(suma(odmocnina(Si*ci)))^2/(2*K^2)</t>
        </r>
      </text>
    </comment>
    <comment ref="D24" authorId="0">
      <text>
        <r>
          <rPr>
            <sz val="8"/>
            <rFont val="Tahoma"/>
            <family val="2"/>
          </rPr>
          <t>Beta=(suma(odmocnina(Si*ci)))^2/(2*o^2)</t>
        </r>
      </text>
    </comment>
    <comment ref="E26" authorId="0">
      <text>
        <r>
          <rPr>
            <sz val="8"/>
            <rFont val="Tahoma"/>
            <family val="2"/>
          </rPr>
          <t>Omezení kapitálovými prostředky</t>
        </r>
      </text>
    </comment>
    <comment ref="F26" authorId="0">
      <text>
        <r>
          <rPr>
            <sz val="8"/>
            <rFont val="Tahoma"/>
            <family val="2"/>
          </rPr>
          <t>Omezení počtem objednávek</t>
        </r>
      </text>
    </comment>
  </commentList>
</comments>
</file>

<file path=xl/comments12.xml><?xml version="1.0" encoding="utf-8"?>
<comments xmlns="http://schemas.openxmlformats.org/spreadsheetml/2006/main">
  <authors>
    <author>Jakub</author>
  </authors>
  <commentList>
    <comment ref="I27" authorId="0">
      <text>
        <r>
          <rPr>
            <sz val="8"/>
            <rFont val="Tahoma"/>
            <family val="2"/>
          </rPr>
          <t>Volím</t>
        </r>
      </text>
    </comment>
    <comment ref="J27" authorId="0">
      <text>
        <r>
          <rPr>
            <sz val="8"/>
            <rFont val="Tahoma"/>
            <family val="0"/>
          </rPr>
          <t xml:space="preserve">xopt=lambda/oopt
</t>
        </r>
      </text>
    </comment>
    <comment ref="F32" authorId="0">
      <text>
        <r>
          <rPr>
            <sz val="8"/>
            <rFont val="Tahoma"/>
            <family val="2"/>
          </rPr>
          <t>lambda=0,5*(suma(odmocnina(Si*ci)))^2</t>
        </r>
      </text>
    </comment>
    <comment ref="B43" authorId="0">
      <text>
        <r>
          <rPr>
            <sz val="8"/>
            <rFont val="Tahoma"/>
            <family val="2"/>
          </rPr>
          <t>xopt=omezení kapitálovými prostředky</t>
        </r>
        <r>
          <rPr>
            <sz val="8"/>
            <rFont val="Tahoma"/>
            <family val="0"/>
          </rPr>
          <t xml:space="preserve">
</t>
        </r>
      </text>
    </comment>
    <comment ref="B44" authorId="0">
      <text>
        <r>
          <rPr>
            <sz val="8"/>
            <rFont val="Tahoma"/>
            <family val="2"/>
          </rPr>
          <t>oopt=lambda/xopt</t>
        </r>
      </text>
    </comment>
    <comment ref="B52" authorId="0">
      <text>
        <r>
          <rPr>
            <sz val="8"/>
            <rFont val="Tahoma"/>
            <family val="2"/>
          </rPr>
          <t>xabs=odmocnina(nj*lambda/ns)</t>
        </r>
      </text>
    </comment>
    <comment ref="B53" authorId="0">
      <text>
        <r>
          <rPr>
            <sz val="8"/>
            <rFont val="Tahoma"/>
            <family val="0"/>
          </rPr>
          <t xml:space="preserve">oabs=odmocnina(ns*lambda/nj)
</t>
        </r>
      </text>
    </comment>
    <comment ref="B57" authorId="0">
      <text>
        <r>
          <rPr>
            <sz val="8"/>
            <rFont val="Tahoma"/>
            <family val="0"/>
          </rPr>
          <t xml:space="preserve">korekce=oabs/omezení počtem objednávek
</t>
        </r>
      </text>
    </comment>
    <comment ref="C59" authorId="0">
      <text>
        <r>
          <rPr>
            <sz val="8"/>
            <rFont val="Tahoma"/>
            <family val="0"/>
          </rPr>
          <t xml:space="preserve">Qioptbezom=odmocnina((2*Si*nj)/(T*ci*ns))
</t>
        </r>
      </text>
    </comment>
    <comment ref="D59" authorId="0">
      <text>
        <r>
          <rPr>
            <sz val="8"/>
            <rFont val="Tahoma"/>
            <family val="0"/>
          </rPr>
          <t xml:space="preserve">Qioptsom=Qioptbezom*korekce
</t>
        </r>
      </text>
    </comment>
  </commentList>
</comments>
</file>

<file path=xl/comments13.xml><?xml version="1.0" encoding="utf-8"?>
<comments xmlns="http://schemas.openxmlformats.org/spreadsheetml/2006/main">
  <authors>
    <author>Jakub</author>
  </authors>
  <commentList>
    <comment ref="A25" authorId="0">
      <text>
        <r>
          <rPr>
            <sz val="8"/>
            <rFont val="Tahoma"/>
            <family val="0"/>
          </rPr>
          <t xml:space="preserve">Kriterium=cz/(cz + c)
</t>
        </r>
      </text>
    </comment>
  </commentList>
</comments>
</file>

<file path=xl/comments2.xml><?xml version="1.0" encoding="utf-8"?>
<comments xmlns="http://schemas.openxmlformats.org/spreadsheetml/2006/main">
  <authors>
    <author>Jakub</author>
  </authors>
  <commentList>
    <comment ref="F26" authorId="0">
      <text>
        <r>
          <rPr>
            <sz val="8"/>
            <rFont val="Tahoma"/>
            <family val="0"/>
          </rPr>
          <t xml:space="preserve">Nc=Q/2*T*c*ns+S/Q*nj
</t>
        </r>
      </text>
    </comment>
  </commentList>
</comments>
</file>

<file path=xl/comments3.xml><?xml version="1.0" encoding="utf-8"?>
<comments xmlns="http://schemas.openxmlformats.org/spreadsheetml/2006/main">
  <authors>
    <author>Jakub</author>
  </authors>
  <commentList>
    <comment ref="E27" authorId="0">
      <text>
        <r>
          <rPr>
            <sz val="8"/>
            <rFont val="Tahoma"/>
            <family val="2"/>
          </rPr>
          <t>Qopt=odmocnina((2*S*nj)/(T*ci*ns))</t>
        </r>
        <r>
          <rPr>
            <b/>
            <sz val="8"/>
            <rFont val="Tahoma"/>
            <family val="0"/>
          </rPr>
          <t xml:space="preserve">
</t>
        </r>
        <r>
          <rPr>
            <sz val="8"/>
            <rFont val="Tahoma"/>
            <family val="0"/>
          </rPr>
          <t xml:space="preserve">
</t>
        </r>
      </text>
    </comment>
    <comment ref="G27" authorId="0">
      <text>
        <r>
          <rPr>
            <sz val="8"/>
            <rFont val="Tahoma"/>
            <family val="2"/>
          </rPr>
          <t>NcQopt=0,5*T*ns*(nj+ci*Qopt)+(S/Qopt)*(nj+ci*Qopt)</t>
        </r>
        <r>
          <rPr>
            <sz val="8"/>
            <rFont val="Tahoma"/>
            <family val="0"/>
          </rPr>
          <t xml:space="preserve">
</t>
        </r>
      </text>
    </comment>
    <comment ref="H27" authorId="0">
      <text>
        <r>
          <rPr>
            <sz val="10"/>
            <rFont val="Tahoma"/>
            <family val="2"/>
          </rPr>
          <t>Nc(Q</t>
        </r>
        <r>
          <rPr>
            <vertAlign val="subscript"/>
            <sz val="10"/>
            <rFont val="Tahoma"/>
            <family val="2"/>
          </rPr>
          <t>horní,i+1</t>
        </r>
        <r>
          <rPr>
            <sz val="10"/>
            <rFont val="Tahoma"/>
            <family val="2"/>
          </rPr>
          <t>)=0,5*T*ns*(nj+c</t>
        </r>
        <r>
          <rPr>
            <vertAlign val="subscript"/>
            <sz val="10"/>
            <rFont val="Tahoma"/>
            <family val="2"/>
          </rPr>
          <t>i+1</t>
        </r>
        <r>
          <rPr>
            <sz val="10"/>
            <rFont val="Tahoma"/>
            <family val="2"/>
          </rPr>
          <t>*Q</t>
        </r>
        <r>
          <rPr>
            <vertAlign val="subscript"/>
            <sz val="10"/>
            <rFont val="Tahoma"/>
            <family val="2"/>
          </rPr>
          <t>horní,i+1</t>
        </r>
        <r>
          <rPr>
            <sz val="10"/>
            <rFont val="Tahoma"/>
            <family val="2"/>
          </rPr>
          <t>)+(S/Q</t>
        </r>
        <r>
          <rPr>
            <vertAlign val="subscript"/>
            <sz val="10"/>
            <rFont val="Tahoma"/>
            <family val="2"/>
          </rPr>
          <t>horní,i+1</t>
        </r>
        <r>
          <rPr>
            <sz val="10"/>
            <rFont val="Tahoma"/>
            <family val="2"/>
          </rPr>
          <t>)*(nj+c</t>
        </r>
        <r>
          <rPr>
            <vertAlign val="subscript"/>
            <sz val="10"/>
            <rFont val="Tahoma"/>
            <family val="2"/>
          </rPr>
          <t>i+1</t>
        </r>
        <r>
          <rPr>
            <sz val="10"/>
            <rFont val="Tahoma"/>
            <family val="2"/>
          </rPr>
          <t>*Q</t>
        </r>
        <r>
          <rPr>
            <vertAlign val="subscript"/>
            <sz val="10"/>
            <rFont val="Tahoma"/>
            <family val="2"/>
          </rPr>
          <t>horní,i+1</t>
        </r>
        <r>
          <rPr>
            <sz val="10"/>
            <rFont val="Tahoma"/>
            <family val="2"/>
          </rPr>
          <t>)</t>
        </r>
      </text>
    </comment>
  </commentList>
</comments>
</file>

<file path=xl/comments4.xml><?xml version="1.0" encoding="utf-8"?>
<comments xmlns="http://schemas.openxmlformats.org/spreadsheetml/2006/main">
  <authors>
    <author>Jakub</author>
  </authors>
  <commentList>
    <comment ref="G26" authorId="0">
      <text>
        <r>
          <rPr>
            <sz val="10"/>
            <rFont val="Tahoma"/>
            <family val="2"/>
          </rPr>
          <t>Ai=(nj+F</t>
        </r>
        <r>
          <rPr>
            <vertAlign val="subscript"/>
            <sz val="10"/>
            <rFont val="Tahoma"/>
            <family val="2"/>
          </rPr>
          <t>i-1</t>
        </r>
        <r>
          <rPr>
            <sz val="10"/>
            <rFont val="Tahoma"/>
            <family val="2"/>
          </rPr>
          <t>-Q</t>
        </r>
        <r>
          <rPr>
            <vertAlign val="subscript"/>
            <sz val="10"/>
            <rFont val="Tahoma"/>
            <family val="2"/>
          </rPr>
          <t>dolní</t>
        </r>
        <r>
          <rPr>
            <sz val="10"/>
            <rFont val="Tahoma"/>
            <family val="2"/>
          </rPr>
          <t>*c</t>
        </r>
        <r>
          <rPr>
            <vertAlign val="subscript"/>
            <sz val="10"/>
            <rFont val="Tahoma"/>
            <family val="2"/>
          </rPr>
          <t>i</t>
        </r>
        <r>
          <rPr>
            <sz val="10"/>
            <rFont val="Tahoma"/>
            <family val="2"/>
          </rPr>
          <t>)</t>
        </r>
      </text>
    </comment>
    <comment ref="H26" authorId="0">
      <text>
        <r>
          <rPr>
            <sz val="8"/>
            <rFont val="Tahoma"/>
            <family val="2"/>
          </rPr>
          <t>Qopt=odmocnina((2*S*Ai)/(T*ci*ns))</t>
        </r>
      </text>
    </comment>
    <comment ref="J26" authorId="0">
      <text>
        <r>
          <rPr>
            <sz val="10"/>
            <rFont val="Tahoma"/>
            <family val="2"/>
          </rPr>
          <t>Nc=S*ci+0,5*T*ns*(F</t>
        </r>
        <r>
          <rPr>
            <vertAlign val="subscript"/>
            <sz val="10"/>
            <rFont val="Tahoma"/>
            <family val="2"/>
          </rPr>
          <t>i-1</t>
        </r>
        <r>
          <rPr>
            <sz val="10"/>
            <rFont val="Tahoma"/>
            <family val="2"/>
          </rPr>
          <t>-Q</t>
        </r>
        <r>
          <rPr>
            <vertAlign val="subscript"/>
            <sz val="10"/>
            <rFont val="Tahoma"/>
            <family val="2"/>
          </rPr>
          <t>i-1</t>
        </r>
        <r>
          <rPr>
            <sz val="10"/>
            <rFont val="Tahoma"/>
            <family val="2"/>
          </rPr>
          <t>*ci)+odmocnina(2*S*T*ns*Ai)</t>
        </r>
      </text>
    </comment>
  </commentList>
</comments>
</file>

<file path=xl/comments5.xml><?xml version="1.0" encoding="utf-8"?>
<comments xmlns="http://schemas.openxmlformats.org/spreadsheetml/2006/main">
  <authors>
    <author>Jakub</author>
  </authors>
  <commentList>
    <comment ref="D27" authorId="0">
      <text>
        <r>
          <rPr>
            <sz val="8"/>
            <rFont val="Tahoma"/>
            <family val="0"/>
          </rPr>
          <t>Qopt=odmocnina((2*Si*nj)/(T*ci*ns))</t>
        </r>
      </text>
    </comment>
    <comment ref="E27" authorId="0">
      <text>
        <r>
          <rPr>
            <sz val="8"/>
            <rFont val="Tahoma"/>
            <family val="2"/>
          </rPr>
          <t>Nc</t>
        </r>
        <r>
          <rPr>
            <vertAlign val="subscript"/>
            <sz val="8"/>
            <rFont val="Tahoma"/>
            <family val="2"/>
          </rPr>
          <t>Qopt</t>
        </r>
        <r>
          <rPr>
            <sz val="8"/>
            <rFont val="Tahoma"/>
            <family val="2"/>
          </rPr>
          <t>=Qopt/2*T*ci*ns+Si/Qopt*nj</t>
        </r>
      </text>
    </comment>
    <comment ref="F27" authorId="0">
      <text>
        <r>
          <rPr>
            <sz val="8"/>
            <rFont val="Tahoma"/>
            <family val="0"/>
          </rPr>
          <t>o</t>
        </r>
        <r>
          <rPr>
            <vertAlign val="subscript"/>
            <sz val="8"/>
            <rFont val="Tahoma"/>
            <family val="2"/>
          </rPr>
          <t>Qopt</t>
        </r>
        <r>
          <rPr>
            <sz val="8"/>
            <rFont val="Tahoma"/>
            <family val="0"/>
          </rPr>
          <t>=Si/Qopt</t>
        </r>
      </text>
    </comment>
    <comment ref="G27" authorId="0">
      <text>
        <r>
          <rPr>
            <sz val="8"/>
            <rFont val="Tahoma"/>
            <family val="2"/>
          </rPr>
          <t>t</t>
        </r>
        <r>
          <rPr>
            <vertAlign val="subscript"/>
            <sz val="8"/>
            <rFont val="Tahoma"/>
            <family val="2"/>
          </rPr>
          <t>Qopt</t>
        </r>
        <r>
          <rPr>
            <sz val="8"/>
            <rFont val="Tahoma"/>
            <family val="2"/>
          </rPr>
          <t>=T/oQopt</t>
        </r>
      </text>
    </comment>
  </commentList>
</comments>
</file>

<file path=xl/comments6.xml><?xml version="1.0" encoding="utf-8"?>
<comments xmlns="http://schemas.openxmlformats.org/spreadsheetml/2006/main">
  <authors>
    <author>Jakub</author>
  </authors>
  <commentList>
    <comment ref="A30" authorId="0">
      <text>
        <r>
          <rPr>
            <sz val="8"/>
            <rFont val="Tahoma"/>
            <family val="2"/>
          </rPr>
          <t>Alfa=(nj*(suma(odmocnina(Si*ci)))^2/(2*K^2))-T*ns</t>
        </r>
      </text>
    </comment>
    <comment ref="E32" authorId="0">
      <text>
        <r>
          <rPr>
            <sz val="8"/>
            <rFont val="Tahoma"/>
            <family val="2"/>
          </rPr>
          <t>Qopt=odmocnina((2*Si*nj)/(ci*(T*ns+Alfa)))</t>
        </r>
      </text>
    </comment>
    <comment ref="F32" authorId="0">
      <text>
        <r>
          <rPr>
            <sz val="8"/>
            <rFont val="Tahoma"/>
            <family val="2"/>
          </rPr>
          <t>Nc</t>
        </r>
        <r>
          <rPr>
            <vertAlign val="subscript"/>
            <sz val="8"/>
            <rFont val="Tahoma"/>
            <family val="2"/>
          </rPr>
          <t>Qopt</t>
        </r>
        <r>
          <rPr>
            <sz val="8"/>
            <rFont val="Tahoma"/>
            <family val="2"/>
          </rPr>
          <t>=Qopt/2*T*ci*ns+Si/Qopt*nj</t>
        </r>
      </text>
    </comment>
    <comment ref="G32" authorId="0">
      <text>
        <r>
          <rPr>
            <sz val="8"/>
            <rFont val="Tahoma"/>
            <family val="0"/>
          </rPr>
          <t>o</t>
        </r>
        <r>
          <rPr>
            <vertAlign val="subscript"/>
            <sz val="8"/>
            <rFont val="Tahoma"/>
            <family val="2"/>
          </rPr>
          <t>Qopt</t>
        </r>
        <r>
          <rPr>
            <sz val="8"/>
            <rFont val="Tahoma"/>
            <family val="0"/>
          </rPr>
          <t>=Si/Qopt</t>
        </r>
      </text>
    </comment>
    <comment ref="H32" authorId="0">
      <text>
        <r>
          <rPr>
            <sz val="8"/>
            <rFont val="Tahoma"/>
            <family val="2"/>
          </rPr>
          <t>t</t>
        </r>
        <r>
          <rPr>
            <vertAlign val="subscript"/>
            <sz val="8"/>
            <rFont val="Tahoma"/>
            <family val="2"/>
          </rPr>
          <t>Qopt</t>
        </r>
        <r>
          <rPr>
            <sz val="8"/>
            <rFont val="Tahoma"/>
            <family val="2"/>
          </rPr>
          <t>=T/oQopt</t>
        </r>
      </text>
    </comment>
  </commentList>
</comments>
</file>

<file path=xl/comments7.xml><?xml version="1.0" encoding="utf-8"?>
<comments xmlns="http://schemas.openxmlformats.org/spreadsheetml/2006/main">
  <authors>
    <author>Jakub</author>
  </authors>
  <commentList>
    <comment ref="A29" authorId="0">
      <text>
        <r>
          <rPr>
            <sz val="8"/>
            <rFont val="Tahoma"/>
            <family val="2"/>
          </rPr>
          <t>Beta=(T*ns*(suma(odmocnina(Si*ci)))^2/(2*o^2))-nj</t>
        </r>
      </text>
    </comment>
    <comment ref="E31" authorId="0">
      <text>
        <r>
          <rPr>
            <sz val="8"/>
            <rFont val="Tahoma"/>
            <family val="2"/>
          </rPr>
          <t>Qopt=odmocnina((2*Si*(nj+Beta))/(ci*T*ns))</t>
        </r>
      </text>
    </comment>
    <comment ref="F31" authorId="0">
      <text>
        <r>
          <rPr>
            <sz val="8"/>
            <rFont val="Tahoma"/>
            <family val="2"/>
          </rPr>
          <t>Nc</t>
        </r>
        <r>
          <rPr>
            <vertAlign val="subscript"/>
            <sz val="8"/>
            <rFont val="Tahoma"/>
            <family val="2"/>
          </rPr>
          <t>Qopt</t>
        </r>
        <r>
          <rPr>
            <sz val="8"/>
            <rFont val="Tahoma"/>
            <family val="2"/>
          </rPr>
          <t>=Qopt/2*T*ci*ns+Si/Qopt*nj</t>
        </r>
      </text>
    </comment>
    <comment ref="G31" authorId="0">
      <text>
        <r>
          <rPr>
            <sz val="8"/>
            <rFont val="Tahoma"/>
            <family val="0"/>
          </rPr>
          <t>o</t>
        </r>
        <r>
          <rPr>
            <vertAlign val="subscript"/>
            <sz val="8"/>
            <rFont val="Tahoma"/>
            <family val="2"/>
          </rPr>
          <t>Qopt</t>
        </r>
        <r>
          <rPr>
            <sz val="8"/>
            <rFont val="Tahoma"/>
            <family val="0"/>
          </rPr>
          <t>=Si/Qopt</t>
        </r>
      </text>
    </comment>
    <comment ref="H31" authorId="0">
      <text>
        <r>
          <rPr>
            <sz val="8"/>
            <rFont val="Tahoma"/>
            <family val="2"/>
          </rPr>
          <t>t</t>
        </r>
        <r>
          <rPr>
            <vertAlign val="subscript"/>
            <sz val="8"/>
            <rFont val="Tahoma"/>
            <family val="2"/>
          </rPr>
          <t>Qopt</t>
        </r>
        <r>
          <rPr>
            <sz val="8"/>
            <rFont val="Tahoma"/>
            <family val="2"/>
          </rPr>
          <t>=T/oQopt</t>
        </r>
      </text>
    </comment>
  </commentList>
</comments>
</file>

<file path=xl/comments8.xml><?xml version="1.0" encoding="utf-8"?>
<comments xmlns="http://schemas.openxmlformats.org/spreadsheetml/2006/main">
  <authors>
    <author>Jakub</author>
  </authors>
  <commentList>
    <comment ref="E27" authorId="0">
      <text>
        <r>
          <rPr>
            <sz val="8"/>
            <rFont val="Tahoma"/>
            <family val="2"/>
          </rPr>
          <t>Výraz = odmocnina((2*Si*nj*pi^2)/(ci*T*ns+2*Gama*pi))</t>
        </r>
      </text>
    </comment>
    <comment ref="F27" authorId="0">
      <text>
        <r>
          <rPr>
            <sz val="8"/>
            <rFont val="Tahoma"/>
            <family val="2"/>
          </rPr>
          <t>Qopt=odmocnina((2*Si*nj)/(ci*T*ns+2*Gama*pi))</t>
        </r>
      </text>
    </comment>
    <comment ref="G27" authorId="0">
      <text>
        <r>
          <rPr>
            <sz val="8"/>
            <rFont val="Tahoma"/>
            <family val="2"/>
          </rPr>
          <t>Nc</t>
        </r>
        <r>
          <rPr>
            <vertAlign val="subscript"/>
            <sz val="8"/>
            <rFont val="Tahoma"/>
            <family val="2"/>
          </rPr>
          <t>Qopt</t>
        </r>
        <r>
          <rPr>
            <sz val="8"/>
            <rFont val="Tahoma"/>
            <family val="2"/>
          </rPr>
          <t>=Qopt/2*T*ci*ns+Si/Qopt*nj</t>
        </r>
      </text>
    </comment>
    <comment ref="H27" authorId="0">
      <text>
        <r>
          <rPr>
            <sz val="8"/>
            <rFont val="Tahoma"/>
            <family val="0"/>
          </rPr>
          <t>o</t>
        </r>
        <r>
          <rPr>
            <vertAlign val="subscript"/>
            <sz val="8"/>
            <rFont val="Tahoma"/>
            <family val="2"/>
          </rPr>
          <t>Qopt</t>
        </r>
        <r>
          <rPr>
            <sz val="8"/>
            <rFont val="Tahoma"/>
            <family val="0"/>
          </rPr>
          <t>=Si/Qopt</t>
        </r>
      </text>
    </comment>
    <comment ref="I27" authorId="0">
      <text>
        <r>
          <rPr>
            <sz val="8"/>
            <rFont val="Tahoma"/>
            <family val="2"/>
          </rPr>
          <t>t</t>
        </r>
        <r>
          <rPr>
            <vertAlign val="subscript"/>
            <sz val="8"/>
            <rFont val="Tahoma"/>
            <family val="2"/>
          </rPr>
          <t>Qopt</t>
        </r>
        <r>
          <rPr>
            <sz val="8"/>
            <rFont val="Tahoma"/>
            <family val="2"/>
          </rPr>
          <t>=T/oQopt</t>
        </r>
      </text>
    </comment>
  </commentList>
</comments>
</file>

<file path=xl/comments9.xml><?xml version="1.0" encoding="utf-8"?>
<comments xmlns="http://schemas.openxmlformats.org/spreadsheetml/2006/main">
  <authors>
    <author>Jakub</author>
  </authors>
  <commentList>
    <comment ref="D31" authorId="0">
      <text>
        <r>
          <rPr>
            <sz val="8"/>
            <rFont val="Tahoma"/>
            <family val="0"/>
          </rPr>
          <t xml:space="preserve">Qopt=odmocnina((2*Si*nj)/(T*ci*ns))
</t>
        </r>
      </text>
    </comment>
    <comment ref="E31" authorId="0">
      <text>
        <r>
          <rPr>
            <sz val="8"/>
            <rFont val="Tahoma"/>
            <family val="2"/>
          </rPr>
          <t>Nc</t>
        </r>
        <r>
          <rPr>
            <vertAlign val="subscript"/>
            <sz val="8"/>
            <rFont val="Tahoma"/>
            <family val="2"/>
          </rPr>
          <t>Qopt</t>
        </r>
        <r>
          <rPr>
            <sz val="8"/>
            <rFont val="Tahoma"/>
            <family val="2"/>
          </rPr>
          <t>=Qopt/2*T*ci*ns+Si/Qopt*nj</t>
        </r>
      </text>
    </comment>
    <comment ref="F31" authorId="0">
      <text>
        <r>
          <rPr>
            <sz val="8"/>
            <rFont val="Tahoma"/>
            <family val="0"/>
          </rPr>
          <t>o</t>
        </r>
        <r>
          <rPr>
            <vertAlign val="subscript"/>
            <sz val="8"/>
            <rFont val="Tahoma"/>
            <family val="2"/>
          </rPr>
          <t>Qopt</t>
        </r>
        <r>
          <rPr>
            <sz val="8"/>
            <rFont val="Tahoma"/>
            <family val="0"/>
          </rPr>
          <t xml:space="preserve">=Si/Qopt
</t>
        </r>
      </text>
    </comment>
    <comment ref="G31" authorId="0">
      <text>
        <r>
          <rPr>
            <sz val="8"/>
            <rFont val="Tahoma"/>
            <family val="2"/>
          </rPr>
          <t>t</t>
        </r>
        <r>
          <rPr>
            <vertAlign val="subscript"/>
            <sz val="8"/>
            <rFont val="Tahoma"/>
            <family val="2"/>
          </rPr>
          <t>Qopt</t>
        </r>
        <r>
          <rPr>
            <sz val="8"/>
            <rFont val="Tahoma"/>
            <family val="2"/>
          </rPr>
          <t>=T/oQopt</t>
        </r>
      </text>
    </comment>
    <comment ref="K31" authorId="0">
      <text>
        <r>
          <rPr>
            <sz val="8"/>
            <rFont val="Tahoma"/>
            <family val="2"/>
          </rPr>
          <t>Nc=odmocnina(2*T*nj*suma(Si*ci*ns))</t>
        </r>
      </text>
    </comment>
    <comment ref="K32" authorId="0">
      <text>
        <r>
          <rPr>
            <sz val="8"/>
            <rFont val="Tahoma"/>
            <family val="2"/>
          </rPr>
          <t>tc=odmocnina(2*T*nj/suma(Si*ci*ns))</t>
        </r>
      </text>
    </comment>
    <comment ref="K33" authorId="0">
      <text>
        <r>
          <rPr>
            <sz val="8"/>
            <rFont val="Tahoma"/>
            <family val="2"/>
          </rPr>
          <t>o=T/tc</t>
        </r>
      </text>
    </comment>
    <comment ref="I31" authorId="0">
      <text>
        <r>
          <rPr>
            <sz val="8"/>
            <rFont val="Tahoma"/>
            <family val="2"/>
          </rPr>
          <t>Qopt=Si*tc/T</t>
        </r>
      </text>
    </comment>
  </commentList>
</comments>
</file>

<file path=xl/sharedStrings.xml><?xml version="1.0" encoding="utf-8"?>
<sst xmlns="http://schemas.openxmlformats.org/spreadsheetml/2006/main" count="536" uniqueCount="200">
  <si>
    <t>Data:</t>
  </si>
  <si>
    <t>S</t>
  </si>
  <si>
    <r>
      <t>n</t>
    </r>
    <r>
      <rPr>
        <vertAlign val="subscript"/>
        <sz val="10"/>
        <rFont val="Arial"/>
        <family val="2"/>
      </rPr>
      <t>j</t>
    </r>
  </si>
  <si>
    <r>
      <t>n</t>
    </r>
    <r>
      <rPr>
        <vertAlign val="subscript"/>
        <sz val="10"/>
        <rFont val="Arial"/>
        <family val="2"/>
      </rPr>
      <t>s</t>
    </r>
  </si>
  <si>
    <t>c</t>
  </si>
  <si>
    <t>tun</t>
  </si>
  <si>
    <t>1 objednávka</t>
  </si>
  <si>
    <t>Kč/tunu</t>
  </si>
  <si>
    <t>T</t>
  </si>
  <si>
    <t>měsíc</t>
  </si>
  <si>
    <t>Vstupní hodnoty</t>
  </si>
  <si>
    <t>Krok1:</t>
  </si>
  <si>
    <t>% z prům. zás. za  rok v Kč</t>
  </si>
  <si>
    <t>Krok2:</t>
  </si>
  <si>
    <t>Poptávka na období T</t>
  </si>
  <si>
    <t>Náklady na vyřízení 1 objednávky</t>
  </si>
  <si>
    <t>Náklady na skladování</t>
  </si>
  <si>
    <t>Cena za jednotku</t>
  </si>
  <si>
    <r>
      <t>Období pro které znám S a určuju Q</t>
    </r>
    <r>
      <rPr>
        <i/>
        <vertAlign val="subscript"/>
        <sz val="10"/>
        <rFont val="Arial"/>
        <family val="2"/>
      </rPr>
      <t>opt</t>
    </r>
  </si>
  <si>
    <r>
      <t>Q</t>
    </r>
    <r>
      <rPr>
        <vertAlign val="subscript"/>
        <sz val="10"/>
        <rFont val="Arial"/>
        <family val="2"/>
      </rPr>
      <t>opt</t>
    </r>
  </si>
  <si>
    <r>
      <t>N</t>
    </r>
    <r>
      <rPr>
        <vertAlign val="subscript"/>
        <sz val="10"/>
        <rFont val="Arial"/>
        <family val="2"/>
      </rPr>
      <t>Qopt</t>
    </r>
  </si>
  <si>
    <r>
      <t>t</t>
    </r>
    <r>
      <rPr>
        <vertAlign val="subscript"/>
        <sz val="10"/>
        <rFont val="Arial"/>
        <family val="2"/>
      </rPr>
      <t>Qopt</t>
    </r>
  </si>
  <si>
    <r>
      <t>Přepočet n</t>
    </r>
    <r>
      <rPr>
        <b/>
        <vertAlign val="subscript"/>
        <sz val="10"/>
        <rFont val="Arial"/>
        <family val="2"/>
      </rPr>
      <t>s</t>
    </r>
    <r>
      <rPr>
        <b/>
        <sz val="10"/>
        <rFont val="Arial"/>
        <family val="2"/>
      </rPr>
      <t xml:space="preserve"> na zadané T (měsíc-rok)</t>
    </r>
  </si>
  <si>
    <r>
      <t>Výpočet Q</t>
    </r>
    <r>
      <rPr>
        <b/>
        <vertAlign val="subscript"/>
        <sz val="10"/>
        <rFont val="Arial"/>
        <family val="2"/>
      </rPr>
      <t>opt</t>
    </r>
    <r>
      <rPr>
        <b/>
        <sz val="10"/>
        <rFont val="Arial"/>
        <family val="2"/>
      </rPr>
      <t>, N</t>
    </r>
    <r>
      <rPr>
        <b/>
        <vertAlign val="subscript"/>
        <sz val="10"/>
        <rFont val="Arial"/>
        <family val="2"/>
      </rPr>
      <t>Qopt</t>
    </r>
    <r>
      <rPr>
        <b/>
        <sz val="10"/>
        <rFont val="Arial"/>
        <family val="2"/>
      </rPr>
      <t>,o</t>
    </r>
    <r>
      <rPr>
        <b/>
        <vertAlign val="subscript"/>
        <sz val="10"/>
        <rFont val="Arial"/>
        <family val="2"/>
      </rPr>
      <t>Qopt</t>
    </r>
    <r>
      <rPr>
        <b/>
        <sz val="10"/>
        <rFont val="Arial"/>
        <family val="2"/>
      </rPr>
      <t>,t</t>
    </r>
    <r>
      <rPr>
        <b/>
        <vertAlign val="subscript"/>
        <sz val="10"/>
        <rFont val="Arial"/>
        <family val="2"/>
      </rPr>
      <t>Qopt</t>
    </r>
  </si>
  <si>
    <r>
      <t>o</t>
    </r>
    <r>
      <rPr>
        <vertAlign val="subscript"/>
        <sz val="10"/>
        <rFont val="Arial"/>
        <family val="2"/>
      </rPr>
      <t>Qopt</t>
    </r>
  </si>
  <si>
    <t>Kč</t>
  </si>
  <si>
    <t>počet objednávek</t>
  </si>
  <si>
    <t>dnů</t>
  </si>
  <si>
    <t>Optimální velikost dodávky</t>
  </si>
  <si>
    <t>Počet dodávek</t>
  </si>
  <si>
    <t>Dodací cyklus</t>
  </si>
  <si>
    <t>Q</t>
  </si>
  <si>
    <r>
      <t>N</t>
    </r>
    <r>
      <rPr>
        <vertAlign val="subscript"/>
        <sz val="10"/>
        <rFont val="Arial"/>
        <family val="2"/>
      </rPr>
      <t>skladQopt</t>
    </r>
  </si>
  <si>
    <r>
      <t>N</t>
    </r>
    <r>
      <rPr>
        <vertAlign val="subscript"/>
        <sz val="10"/>
        <rFont val="Arial"/>
        <family val="2"/>
      </rPr>
      <t>objQopt</t>
    </r>
  </si>
  <si>
    <t>Celkové náklady na skladování pro Qopt</t>
  </si>
  <si>
    <t>Celkové náklady na objednávání pro Qopt</t>
  </si>
  <si>
    <t>Celkové náklady pro optimální velikost dodávky</t>
  </si>
  <si>
    <t>Krok3:</t>
  </si>
  <si>
    <t>Ukázka nákladových křivek</t>
  </si>
  <si>
    <t>Nc</t>
  </si>
  <si>
    <t>Den</t>
  </si>
  <si>
    <t>TVO</t>
  </si>
  <si>
    <t>DenníSpotřeba</t>
  </si>
  <si>
    <t>Signální stav</t>
  </si>
  <si>
    <t>Spotřeba během TVO</t>
  </si>
  <si>
    <t>Krok4:</t>
  </si>
  <si>
    <t>O kolik cyklů dřív objednávám</t>
  </si>
  <si>
    <t>Signální stav zásob, průběh zásob</t>
  </si>
  <si>
    <t>Výpočet podílu ve střední části nerovnosti</t>
  </si>
  <si>
    <t>2*S*nj/T*c*ns</t>
  </si>
  <si>
    <t>q</t>
  </si>
  <si>
    <t>Násobek q</t>
  </si>
  <si>
    <t>Kriterium</t>
  </si>
  <si>
    <t>ks</t>
  </si>
  <si>
    <t>ks/bal</t>
  </si>
  <si>
    <t>Tabulka s násobky q - obsah jednoho balení</t>
  </si>
  <si>
    <t>Princip:</t>
  </si>
  <si>
    <t>Ceník dodavatele</t>
  </si>
  <si>
    <t>Qdolní[ks]</t>
  </si>
  <si>
    <t>Qhorní[ks]</t>
  </si>
  <si>
    <t>Cena[Kč/ks]</t>
  </si>
  <si>
    <t>Qopt</t>
  </si>
  <si>
    <t>Leží v int.?</t>
  </si>
  <si>
    <t>Data</t>
  </si>
  <si>
    <t>Výpočty</t>
  </si>
  <si>
    <t>N(Qopt)</t>
  </si>
  <si>
    <r>
      <t>Q</t>
    </r>
    <r>
      <rPr>
        <b/>
        <vertAlign val="subscript"/>
        <sz val="10"/>
        <rFont val="Arial"/>
        <family val="2"/>
      </rPr>
      <t>opt</t>
    </r>
    <r>
      <rPr>
        <b/>
        <sz val="10"/>
        <rFont val="Arial"/>
        <family val="2"/>
      </rPr>
      <t>[ks]</t>
    </r>
  </si>
  <si>
    <r>
      <t>o</t>
    </r>
    <r>
      <rPr>
        <b/>
        <vertAlign val="subscript"/>
        <sz val="10"/>
        <rFont val="Arial"/>
        <family val="2"/>
      </rPr>
      <t>Qopt</t>
    </r>
    <r>
      <rPr>
        <b/>
        <sz val="10"/>
        <rFont val="Arial"/>
        <family val="2"/>
      </rPr>
      <t>[dodávek]</t>
    </r>
  </si>
  <si>
    <r>
      <t>t</t>
    </r>
    <r>
      <rPr>
        <b/>
        <vertAlign val="subscript"/>
        <sz val="10"/>
        <rFont val="Arial"/>
        <family val="2"/>
      </rPr>
      <t>cQopt</t>
    </r>
    <r>
      <rPr>
        <b/>
        <sz val="10"/>
        <rFont val="Arial"/>
        <family val="2"/>
      </rPr>
      <t>[dny]</t>
    </r>
  </si>
  <si>
    <t>Výpočet Qopt a Nc</t>
  </si>
  <si>
    <t>Ai</t>
  </si>
  <si>
    <t>Fi</t>
  </si>
  <si>
    <t xml:space="preserve">  </t>
  </si>
  <si>
    <t>S[kg]</t>
  </si>
  <si>
    <t>Cena[Kč/kg]</t>
  </si>
  <si>
    <r>
      <t>o</t>
    </r>
    <r>
      <rPr>
        <b/>
        <vertAlign val="subscript"/>
        <sz val="10"/>
        <rFont val="Arial"/>
        <family val="2"/>
      </rPr>
      <t>Qopt</t>
    </r>
  </si>
  <si>
    <t>suma</t>
  </si>
  <si>
    <r>
      <t>Výpočet Alfa,Q</t>
    </r>
    <r>
      <rPr>
        <b/>
        <vertAlign val="subscript"/>
        <sz val="10"/>
        <rFont val="Arial"/>
        <family val="2"/>
      </rPr>
      <t>opt</t>
    </r>
    <r>
      <rPr>
        <b/>
        <sz val="10"/>
        <rFont val="Arial"/>
        <family val="2"/>
      </rPr>
      <t>, N</t>
    </r>
    <r>
      <rPr>
        <b/>
        <vertAlign val="subscript"/>
        <sz val="10"/>
        <rFont val="Arial"/>
        <family val="2"/>
      </rPr>
      <t>Qopt</t>
    </r>
    <r>
      <rPr>
        <b/>
        <sz val="10"/>
        <rFont val="Arial"/>
        <family val="2"/>
      </rPr>
      <t>,o</t>
    </r>
    <r>
      <rPr>
        <b/>
        <vertAlign val="subscript"/>
        <sz val="10"/>
        <rFont val="Arial"/>
        <family val="2"/>
      </rPr>
      <t>Qopt</t>
    </r>
    <r>
      <rPr>
        <b/>
        <sz val="10"/>
        <rFont val="Arial"/>
        <family val="2"/>
      </rPr>
      <t>,t</t>
    </r>
    <r>
      <rPr>
        <b/>
        <vertAlign val="subscript"/>
        <sz val="10"/>
        <rFont val="Arial"/>
        <family val="2"/>
      </rPr>
      <t>Qopt</t>
    </r>
  </si>
  <si>
    <t>K</t>
  </si>
  <si>
    <t>Omezení kap. prostředky</t>
  </si>
  <si>
    <t>Alfa</t>
  </si>
  <si>
    <t>(Si*ci)^0.5</t>
  </si>
  <si>
    <t>o</t>
  </si>
  <si>
    <t>Omezení počtem objednávek</t>
  </si>
  <si>
    <t>objednávek</t>
  </si>
  <si>
    <r>
      <t>Výpočet Beta,Q</t>
    </r>
    <r>
      <rPr>
        <b/>
        <vertAlign val="subscript"/>
        <sz val="10"/>
        <rFont val="Arial"/>
        <family val="2"/>
      </rPr>
      <t>opt</t>
    </r>
    <r>
      <rPr>
        <b/>
        <sz val="10"/>
        <rFont val="Arial"/>
        <family val="2"/>
      </rPr>
      <t>, N</t>
    </r>
    <r>
      <rPr>
        <b/>
        <vertAlign val="subscript"/>
        <sz val="10"/>
        <rFont val="Arial"/>
        <family val="2"/>
      </rPr>
      <t>Qopt</t>
    </r>
    <r>
      <rPr>
        <b/>
        <sz val="10"/>
        <rFont val="Arial"/>
        <family val="2"/>
      </rPr>
      <t>,o</t>
    </r>
    <r>
      <rPr>
        <b/>
        <vertAlign val="subscript"/>
        <sz val="10"/>
        <rFont val="Arial"/>
        <family val="2"/>
      </rPr>
      <t>Qopt</t>
    </r>
    <r>
      <rPr>
        <b/>
        <sz val="10"/>
        <rFont val="Arial"/>
        <family val="2"/>
      </rPr>
      <t>,t</t>
    </r>
    <r>
      <rPr>
        <b/>
        <vertAlign val="subscript"/>
        <sz val="10"/>
        <rFont val="Arial"/>
        <family val="2"/>
      </rPr>
      <t>Qopt</t>
    </r>
  </si>
  <si>
    <t>Beta</t>
  </si>
  <si>
    <t>p</t>
  </si>
  <si>
    <t>Omezení velikostí skladovacího prostoru</t>
  </si>
  <si>
    <t>Gama</t>
  </si>
  <si>
    <r>
      <t>m</t>
    </r>
    <r>
      <rPr>
        <vertAlign val="superscript"/>
        <sz val="10"/>
        <rFont val="Arial"/>
        <family val="2"/>
      </rPr>
      <t>3</t>
    </r>
  </si>
  <si>
    <r>
      <t>p</t>
    </r>
    <r>
      <rPr>
        <b/>
        <vertAlign val="subscript"/>
        <sz val="10"/>
        <rFont val="Arial"/>
        <family val="2"/>
      </rPr>
      <t>i</t>
    </r>
    <r>
      <rPr>
        <b/>
        <sz val="10"/>
        <rFont val="Arial"/>
        <family val="2"/>
      </rPr>
      <t>[m</t>
    </r>
    <r>
      <rPr>
        <b/>
        <vertAlign val="superscript"/>
        <sz val="10"/>
        <rFont val="Arial"/>
        <family val="2"/>
      </rPr>
      <t>3</t>
    </r>
    <r>
      <rPr>
        <b/>
        <sz val="10"/>
        <rFont val="Arial"/>
        <family val="2"/>
      </rPr>
      <t>/jednotku]</t>
    </r>
  </si>
  <si>
    <r>
      <t>Hledání Gama,Q</t>
    </r>
    <r>
      <rPr>
        <b/>
        <vertAlign val="subscript"/>
        <sz val="10"/>
        <rFont val="Arial"/>
        <family val="2"/>
      </rPr>
      <t>opt</t>
    </r>
    <r>
      <rPr>
        <b/>
        <sz val="10"/>
        <rFont val="Arial"/>
        <family val="2"/>
      </rPr>
      <t>, N</t>
    </r>
    <r>
      <rPr>
        <b/>
        <vertAlign val="subscript"/>
        <sz val="10"/>
        <rFont val="Arial"/>
        <family val="2"/>
      </rPr>
      <t>Qopt</t>
    </r>
    <r>
      <rPr>
        <b/>
        <sz val="10"/>
        <rFont val="Arial"/>
        <family val="2"/>
      </rPr>
      <t>,o</t>
    </r>
    <r>
      <rPr>
        <b/>
        <vertAlign val="subscript"/>
        <sz val="10"/>
        <rFont val="Arial"/>
        <family val="2"/>
      </rPr>
      <t>Qopt</t>
    </r>
    <r>
      <rPr>
        <b/>
        <sz val="10"/>
        <rFont val="Arial"/>
        <family val="2"/>
      </rPr>
      <t>,t</t>
    </r>
    <r>
      <rPr>
        <b/>
        <vertAlign val="subscript"/>
        <sz val="10"/>
        <rFont val="Arial"/>
        <family val="2"/>
      </rPr>
      <t>Qopt</t>
    </r>
  </si>
  <si>
    <t>Výraz</t>
  </si>
  <si>
    <r>
      <t>Q</t>
    </r>
    <r>
      <rPr>
        <b/>
        <vertAlign val="subscript"/>
        <sz val="10"/>
        <rFont val="Arial"/>
        <family val="2"/>
      </rPr>
      <t>opt</t>
    </r>
    <r>
      <rPr>
        <b/>
        <sz val="10"/>
        <rFont val="Arial"/>
        <family val="2"/>
      </rPr>
      <t>*p</t>
    </r>
    <r>
      <rPr>
        <b/>
        <vertAlign val="subscript"/>
        <sz val="10"/>
        <rFont val="Arial"/>
        <family val="2"/>
      </rPr>
      <t>i</t>
    </r>
  </si>
  <si>
    <t>Neagregované objednávky</t>
  </si>
  <si>
    <t>Agregace:</t>
  </si>
  <si>
    <t>tc</t>
  </si>
  <si>
    <t>Si*ci*ns</t>
  </si>
  <si>
    <t>dodávek</t>
  </si>
  <si>
    <t>Agregace</t>
  </si>
  <si>
    <r>
      <t>n</t>
    </r>
    <r>
      <rPr>
        <vertAlign val="subscript"/>
        <sz val="10"/>
        <rFont val="Arial"/>
        <family val="2"/>
      </rPr>
      <t>f</t>
    </r>
  </si>
  <si>
    <r>
      <t>n</t>
    </r>
    <r>
      <rPr>
        <vertAlign val="subscript"/>
        <sz val="10"/>
        <rFont val="Arial"/>
        <family val="2"/>
      </rPr>
      <t>v</t>
    </r>
  </si>
  <si>
    <t>Kč/jedna položka</t>
  </si>
  <si>
    <t>rok</t>
  </si>
  <si>
    <t>lambda</t>
  </si>
  <si>
    <t>odmocnina(Si*ci)</t>
  </si>
  <si>
    <r>
      <t>o</t>
    </r>
    <r>
      <rPr>
        <b/>
        <vertAlign val="subscript"/>
        <sz val="10"/>
        <rFont val="Arial"/>
        <family val="2"/>
      </rPr>
      <t>opt</t>
    </r>
  </si>
  <si>
    <r>
      <t>x</t>
    </r>
    <r>
      <rPr>
        <b/>
        <vertAlign val="subscript"/>
        <sz val="10"/>
        <rFont val="Arial"/>
        <family val="2"/>
      </rPr>
      <t>opt</t>
    </r>
  </si>
  <si>
    <t xml:space="preserve">Znám ns a nj - mohu vypočítat absolutně optimální průměrný stav zásob a absolutně optimální počet objednávek (=systém bez omezení) </t>
  </si>
  <si>
    <t>korekce</t>
  </si>
  <si>
    <r>
      <t>Q</t>
    </r>
    <r>
      <rPr>
        <b/>
        <vertAlign val="subscript"/>
        <sz val="10"/>
        <rFont val="Arial"/>
        <family val="2"/>
      </rPr>
      <t>ioptbezom</t>
    </r>
  </si>
  <si>
    <r>
      <t>Q</t>
    </r>
    <r>
      <rPr>
        <b/>
        <vertAlign val="subscript"/>
        <sz val="10"/>
        <rFont val="Arial"/>
        <family val="2"/>
      </rPr>
      <t>ioptsom</t>
    </r>
  </si>
  <si>
    <t>Kč/ks</t>
  </si>
  <si>
    <t>Cena dílu - dodatečný nákup</t>
  </si>
  <si>
    <t>Odhad poptávky [ks]</t>
  </si>
  <si>
    <t>P(S)</t>
  </si>
  <si>
    <t>Objednat?</t>
  </si>
  <si>
    <t>Výpočet kriteria a Qopt</t>
  </si>
  <si>
    <t>Označme c</t>
  </si>
  <si>
    <r>
      <t>Označme c</t>
    </r>
    <r>
      <rPr>
        <i/>
        <vertAlign val="subscript"/>
        <sz val="10"/>
        <rFont val="Arial"/>
        <family val="2"/>
      </rPr>
      <t>z</t>
    </r>
  </si>
  <si>
    <t>sum P(S)</t>
  </si>
  <si>
    <t>%/100 z prům. zás. za  rok v Kč</t>
  </si>
  <si>
    <t>Nákladové křivky</t>
  </si>
  <si>
    <t>Nc_I1</t>
  </si>
  <si>
    <t>Nc_I2</t>
  </si>
  <si>
    <t>Nc_I3</t>
  </si>
  <si>
    <t>Nc_I4</t>
  </si>
  <si>
    <t>Nc_I5</t>
  </si>
  <si>
    <t>Nc_I6</t>
  </si>
  <si>
    <r>
      <t>Výpočet Alfa, Beta, Q</t>
    </r>
    <r>
      <rPr>
        <b/>
        <vertAlign val="subscript"/>
        <sz val="10"/>
        <rFont val="Arial"/>
        <family val="2"/>
      </rPr>
      <t>opt</t>
    </r>
  </si>
  <si>
    <t>Qiopt</t>
  </si>
  <si>
    <t>Suma</t>
  </si>
  <si>
    <t>Zadání:</t>
  </si>
  <si>
    <t>% z prům. zás. Za měsíc v Kč</t>
  </si>
  <si>
    <t>Q [tun]</t>
  </si>
  <si>
    <r>
      <t>N</t>
    </r>
    <r>
      <rPr>
        <vertAlign val="subscript"/>
        <sz val="10"/>
        <rFont val="Arial"/>
        <family val="2"/>
      </rPr>
      <t>sklad</t>
    </r>
    <r>
      <rPr>
        <sz val="10"/>
        <rFont val="Arial"/>
        <family val="2"/>
      </rPr>
      <t>[Kč]</t>
    </r>
  </si>
  <si>
    <t>Nc[Kč]</t>
  </si>
  <si>
    <r>
      <t>N</t>
    </r>
    <r>
      <rPr>
        <vertAlign val="subscript"/>
        <sz val="10"/>
        <rFont val="Arial"/>
        <family val="2"/>
      </rPr>
      <t>obj</t>
    </r>
    <r>
      <rPr>
        <sz val="10"/>
        <rFont val="Arial"/>
        <family val="2"/>
      </rPr>
      <t>[Kč]</t>
    </r>
  </si>
  <si>
    <t>Zásoba[tun]</t>
  </si>
  <si>
    <t>Signál[tun]</t>
  </si>
  <si>
    <t>cyklů</t>
  </si>
  <si>
    <t>% z prům. zás. za  měsíc v Kč</t>
  </si>
  <si>
    <t>SplněnaNerovnost?</t>
  </si>
  <si>
    <t>Pravá strana Q*(Q-q)</t>
  </si>
  <si>
    <t>Levá strana Q*(Q+q)</t>
  </si>
  <si>
    <t>Platí,že pro Qopt je N(Qopt-q)&gt;=N(Qopt)&lt;=N(Qopt+q), po dosazení parametrů do N(Qopt-q),N(Qopt),N(Qopt+q) a úpravě dostaneme:</t>
  </si>
  <si>
    <t>Poptávka po jistém produktu byla stanovena na 15 000 ks za 6 měsíců. Skladovací náklady jsou 24% z průměrné zásoby v Kč za rok, náklady na jedno pořízení 3 200 Kč/obj. Dodavatel účtuje ceny dle odebraného množství, které zachycuje následující tabulka:</t>
  </si>
  <si>
    <t>%/100 z prům. zás. Za měsíc v Kč</t>
  </si>
  <si>
    <t>Interval i</t>
  </si>
  <si>
    <r>
      <t>N(Qhorní,cena</t>
    </r>
    <r>
      <rPr>
        <b/>
        <vertAlign val="subscript"/>
        <sz val="10"/>
        <rFont val="Arial"/>
        <family val="2"/>
      </rPr>
      <t>interval i+1</t>
    </r>
    <r>
      <rPr>
        <b/>
        <sz val="10"/>
        <rFont val="Arial"/>
        <family val="2"/>
      </rPr>
      <t>)</t>
    </r>
  </si>
  <si>
    <t>Poptávka po jistém produktu byla stanovena na 500 ks za měsíc. Skladovací náklady jsou 25% z průměrné zásoby v Kč za rok, náklady na jedno pořízení 1 100 Kč/obj. Cena výrobku je 100 Kč/ks. Výrobky mohou být odebírány pouze v baleních po 50 kusech. Spočtěte optimální velikost objednávky a celkové náklady spojené s pořízením a udržováním zásoby.</t>
  </si>
  <si>
    <t>Poptávka po jistém produktu byla stanovena na 10 000 tun za rok. Cena výrobku je 9 000 Kč/tunu. Skladovací náklady jsou 15% z průměrné zásoby v Kč za rok, náklady na jedno pořízení 8 500 Kč/obj. Spočtěte optimální velikost objednávky, délku dodacího cyklu, počet objednávek a celkové náklady spojené s pořízením a udržováním zásoby.</t>
  </si>
  <si>
    <t>% z prům. zás. za měsíc v Kč</t>
  </si>
  <si>
    <t>Poptávka po jistém produktu byla stanovena na 750 ks za 27 měsíců. Skladovací náklady jsou 18% z průměrné zásoby v Kč za rok, náklady na jedno pořízení 95 Kč/obj. Dodavatel účtuje ceny dle odebraného množství, které zachycuje následující tabulka:</t>
  </si>
  <si>
    <r>
      <t>Způsob účtování ceny je takový, že při objednání nějakého Q z intervalu i bude celková fakturovaná částka     Fi = (Q-Q</t>
    </r>
    <r>
      <rPr>
        <b/>
        <vertAlign val="subscript"/>
        <sz val="10"/>
        <rFont val="Arial"/>
        <family val="2"/>
      </rPr>
      <t>i-1)</t>
    </r>
    <r>
      <rPr>
        <b/>
        <sz val="10"/>
        <rFont val="Arial"/>
        <family val="2"/>
      </rPr>
      <t>*c</t>
    </r>
    <r>
      <rPr>
        <b/>
        <vertAlign val="subscript"/>
        <sz val="10"/>
        <rFont val="Arial"/>
        <family val="2"/>
      </rPr>
      <t>i</t>
    </r>
    <r>
      <rPr>
        <b/>
        <sz val="10"/>
        <rFont val="Arial"/>
        <family val="2"/>
      </rPr>
      <t>+suma (Q</t>
    </r>
    <r>
      <rPr>
        <b/>
        <vertAlign val="subscript"/>
        <sz val="10"/>
        <rFont val="Arial"/>
        <family val="2"/>
      </rPr>
      <t>s</t>
    </r>
    <r>
      <rPr>
        <b/>
        <sz val="10"/>
        <rFont val="Arial"/>
        <family val="2"/>
      </rPr>
      <t>-Q</t>
    </r>
    <r>
      <rPr>
        <b/>
        <vertAlign val="subscript"/>
        <sz val="10"/>
        <rFont val="Arial"/>
        <family val="2"/>
      </rPr>
      <t>s-1</t>
    </r>
    <r>
      <rPr>
        <b/>
        <sz val="10"/>
        <rFont val="Arial"/>
        <family val="2"/>
      </rPr>
      <t>)*c</t>
    </r>
    <r>
      <rPr>
        <b/>
        <vertAlign val="subscript"/>
        <sz val="10"/>
        <rFont val="Arial"/>
        <family val="2"/>
      </rPr>
      <t>s</t>
    </r>
    <r>
      <rPr>
        <b/>
        <sz val="10"/>
        <rFont val="Arial"/>
        <family val="2"/>
      </rPr>
      <t xml:space="preserve"> od s=1 do i-1 Spočtěte optimální velikost objednávky a celkové náklady spojené s pořízením a udržováním zásoby.</t>
    </r>
  </si>
  <si>
    <t>minimum = Qopt!!!</t>
  </si>
  <si>
    <t>Způsob účtování ceny je takový, že pro nějaké objednávané Q z intervalu i je celková fakturovaná částka Fi =Qi*ci. Spočtěte optimální velikost objednávky a celkové náklady spojené s pořízením a udržováním zásoby.</t>
  </si>
  <si>
    <r>
      <t>(Q</t>
    </r>
    <r>
      <rPr>
        <b/>
        <vertAlign val="subscript"/>
        <sz val="10"/>
        <rFont val="Arial"/>
        <family val="2"/>
      </rPr>
      <t>horní</t>
    </r>
    <r>
      <rPr>
        <b/>
        <sz val="10"/>
        <rFont val="Arial"/>
        <family val="2"/>
      </rPr>
      <t>-Q</t>
    </r>
    <r>
      <rPr>
        <b/>
        <vertAlign val="subscript"/>
        <sz val="10"/>
        <rFont val="Arial"/>
        <family val="2"/>
      </rPr>
      <t>dolní</t>
    </r>
    <r>
      <rPr>
        <b/>
        <sz val="10"/>
        <rFont val="Arial"/>
        <family val="2"/>
      </rPr>
      <t>)*ci</t>
    </r>
  </si>
  <si>
    <t>Položka i</t>
  </si>
  <si>
    <t>Si[kg]</t>
  </si>
  <si>
    <t>Cena i[Kč/kg]</t>
  </si>
  <si>
    <r>
      <t>Q</t>
    </r>
    <r>
      <rPr>
        <b/>
        <vertAlign val="subscript"/>
        <sz val="10"/>
        <rFont val="Arial"/>
        <family val="2"/>
      </rPr>
      <t>opt</t>
    </r>
  </si>
  <si>
    <r>
      <t>N</t>
    </r>
    <r>
      <rPr>
        <b/>
        <vertAlign val="subscript"/>
        <sz val="10"/>
        <rFont val="Arial"/>
        <family val="2"/>
      </rPr>
      <t>Qopt</t>
    </r>
  </si>
  <si>
    <r>
      <t>t</t>
    </r>
    <r>
      <rPr>
        <b/>
        <vertAlign val="subscript"/>
        <sz val="10"/>
        <rFont val="Arial"/>
        <family val="2"/>
      </rPr>
      <t>Qopt</t>
    </r>
  </si>
  <si>
    <t>Skutečná potřeba skladovacího místa !!!</t>
  </si>
  <si>
    <t>V tabulce níže vidíte předpokládanou spotřebu 10 položek v období 12 měsíců a jejich cenu. Skladovací náklady jsou 19% z průměrné zásoby v Kč za rok, náklady na jedno pořízení 1 200 Kč/obj. Tyto parametry jsou stejné pro všechny položky. Spočtěte optimální velikosti objednávek, délky dodacích cyklů, počty objednávek a celkové náklady spojené s pořízením a udržováním zásoby.</t>
  </si>
  <si>
    <t>V tabulce níže vidíte předpokládanou spotřebu 5 položek v období 6 měsíců, jejich cenu a také nároky na skladovací prostor. Skladovací náklady jsou 19% z průměrné zásoby v Kč za rok, náklady na jedno pořízení 1 200 Kč/obj. Spočtěte optimální velikosti objednávek, délky dodacích cyklů, počty objednávek a celkové náklady spojené s pořízením a udržováním zásoby za předpokladu, že celková velikost skladu nesmí překročit 3 000 m3.</t>
  </si>
  <si>
    <t>Qopt/2*ci</t>
  </si>
  <si>
    <t>V tabulce níže vidíte předpokládanou spotřebu 10 položek v období 5 měsíců a jejich cenu.Skladovací náklady jsou 19% z průměrné zásoby v Kč za rok, náklady na jedno pořízení 1 400 Kč/obj. Omezení kapitálovými prostředky bylo vyklakulováno na 400 000Kč. Spočtěte optimální velikosti objednávek, délky dodacích cyklů, počty objednávek a celkové náklady spojené s pořízením a udržováním zásoby.</t>
  </si>
  <si>
    <t>Průměrná zásoba v Kč!!!</t>
  </si>
  <si>
    <t>V tabulce níže vidíte předpokládanou spotřebu 10 položek v období 17 měsíců a jejich cenu. Skladovací náklady jsou 19% z průměrné zásoby v Kč za rok, náklady na jedno pořízení 1 200 Kč/obj. Spočtěte optimální velikosti objednávek, délky dodacích cyklů, počty objednávek a celkové náklady spojené s pořízením a udržováním zásoby za předpokladu, že počet objednávek je omezen na 70.</t>
  </si>
  <si>
    <t>Celkový počet objednávek!!!</t>
  </si>
  <si>
    <t>V tabulce níže vidíte předpokládanou spotřebu 10 položek v období 12 měsíců a jejich cenu. Skladovací náklady jsou 19% z průměrné zásoby v Kč za rok, náklady na jedno pořízení 1 200 Kč/obj. Tyto parametry jsou stejné pro všechny položky. Porovnejte systém doplňování zásoby individuálně pro jednotlivé položky se systémem využívajícím distributora. Stanovte optimální velikosti objednávek a délku dodacích cyklů. Distributor si účtuje přirážku ve výši 1% z celkové ceny pořizované zásoby. Objednací náklady nejsou funkcí počtu položek.</t>
  </si>
  <si>
    <t xml:space="preserve">Porovnání výhodnosti služeb distributora s individuálními objednávkami </t>
  </si>
  <si>
    <t>Nákl.položka</t>
  </si>
  <si>
    <t>Celkové náklady</t>
  </si>
  <si>
    <t>Přirážka distributora</t>
  </si>
  <si>
    <t>Agregace-ne</t>
  </si>
  <si>
    <t>Agregace-ano</t>
  </si>
  <si>
    <t>%/100</t>
  </si>
  <si>
    <t>Poplatek za služby distributora</t>
  </si>
  <si>
    <t>Rozhodnutí zda využít služeb distributora</t>
  </si>
  <si>
    <t>Využiji služeb distributora?</t>
  </si>
  <si>
    <t>V tabulce níže vidíte předpokládanou spotřebu 10 položek v období 12 měsíců a jejich cenu. Skladovací náklady jsou 19% z průměrné zásoby v Kč za rok. Porovnejte systém doplňování zásoby individuálně pro jednotlivé položky se systémem využívajícím distributora. Stanovte optimální velikosti objednávek a délku dodacích cyklů. Distributor si účtuje přirážku ve výši 1% z celkové ceny pořizované zásoby. Objednací náklady jsou funkcí počtu položek, tato funkce má tvar nj=nf+k*nv. Hodnoty parametrů byly stanoveny takto: nf = 1 000 Kč, nv = 25 Kč/položka.</t>
  </si>
  <si>
    <t>k</t>
  </si>
  <si>
    <t>položek</t>
  </si>
  <si>
    <t>Fixní náklady</t>
  </si>
  <si>
    <t>Variabilní náklady</t>
  </si>
  <si>
    <t>Celkový počet objednávaných položek</t>
  </si>
  <si>
    <t>% z prům. zás. za měsícv Kč</t>
  </si>
  <si>
    <t>V tabulce níže vidíte předpokládanou spotřebu 10 položek v období 1 roku a jejich cenu. Spočtěte optimální velikosti objednávek v případech: a) je-li systém omezen kapitálovými prostředky ve výši 400 000Kč; b) je-li počet objednávek omezen na 70</t>
  </si>
  <si>
    <t>V tabulce níže vidíte předpokládanou spotřebu 10 položek v období 1 roku a jejich cenu. Skladovací náklady jsou 19% z průměrné zásoby v Kč za rok, náklady na jedno pořízení 1 200 Kč/obj. Úkoly:  a) sestrojte křivku optimálních strategií; b) určete optimální počet objednávek, je-li systém omezen kapitálovými prostředky ve výši 400 000Kč; c) určete absolutně optimální počet objednávek a průměrnou výši zásoby; d) určete optimální velikosti objednávek jednotlivých položek při omezení systému počtem objednávek ve výši 70.</t>
  </si>
  <si>
    <r>
      <t>Sestrojení křivky optimálních strategií ve tvaru o</t>
    </r>
    <r>
      <rPr>
        <b/>
        <vertAlign val="subscript"/>
        <sz val="10"/>
        <rFont val="Arial"/>
        <family val="2"/>
      </rPr>
      <t>opt</t>
    </r>
    <r>
      <rPr>
        <b/>
        <sz val="10"/>
        <rFont val="Arial"/>
        <family val="2"/>
      </rPr>
      <t>=lambda/x</t>
    </r>
    <r>
      <rPr>
        <b/>
        <vertAlign val="subscript"/>
        <sz val="10"/>
        <rFont val="Arial"/>
        <family val="2"/>
      </rPr>
      <t>opt</t>
    </r>
  </si>
  <si>
    <r>
      <t>Bude-li systém omezen kapitálovými prostředky ve výši 400000 Kč, kolik bude o</t>
    </r>
    <r>
      <rPr>
        <b/>
        <vertAlign val="subscript"/>
        <sz val="10"/>
        <rFont val="Arial"/>
        <family val="2"/>
      </rPr>
      <t>opt</t>
    </r>
    <r>
      <rPr>
        <b/>
        <sz val="10"/>
        <rFont val="Arial"/>
        <family val="2"/>
      </rPr>
      <t>?</t>
    </r>
  </si>
  <si>
    <r>
      <t>x</t>
    </r>
    <r>
      <rPr>
        <b/>
        <vertAlign val="subscript"/>
        <sz val="10"/>
        <rFont val="Arial"/>
        <family val="2"/>
      </rPr>
      <t>abs</t>
    </r>
  </si>
  <si>
    <r>
      <t>o</t>
    </r>
    <r>
      <rPr>
        <b/>
        <vertAlign val="subscript"/>
        <sz val="10"/>
        <rFont val="Arial"/>
        <family val="2"/>
      </rPr>
      <t>abs</t>
    </r>
  </si>
  <si>
    <r>
      <t>Spočtu Q</t>
    </r>
    <r>
      <rPr>
        <b/>
        <vertAlign val="subscript"/>
        <sz val="10"/>
        <rFont val="Arial"/>
        <family val="2"/>
      </rPr>
      <t>iopt</t>
    </r>
    <r>
      <rPr>
        <b/>
        <sz val="10"/>
        <rFont val="Arial"/>
        <family val="2"/>
      </rPr>
      <t xml:space="preserve"> pro omezení systému na max 70 objednávek</t>
    </r>
  </si>
  <si>
    <t>Při nákupu výrobního zařízení lze obvykle nakoupit také náhradní díly za výhodnou cenu. Cena náhradního dílu byla stanovena na 147 000 Kč při nákupu společně se zařízením, při dodatečném nákupu se cena dílu pohybuje okolo 167 000 Kč. Odhad poptávky po náhradním dílu je uveden v tabulce níže. Kolik dílů bude výhodné nakoupit společně s výrobním zařízením?</t>
  </si>
  <si>
    <t>Cena dílu - nákup se zařízením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</si>
</sst>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s>
  <fonts count="29">
    <font>
      <sz val="10"/>
      <name val="Arial"/>
      <family val="0"/>
    </font>
    <font>
      <sz val="8"/>
      <name val="Arial"/>
      <family val="0"/>
    </font>
    <font>
      <b/>
      <sz val="10"/>
      <name val="Arial"/>
      <family val="2"/>
    </font>
    <font>
      <vertAlign val="subscript"/>
      <sz val="10"/>
      <name val="Arial"/>
      <family val="2"/>
    </font>
    <font>
      <b/>
      <vertAlign val="subscript"/>
      <sz val="10"/>
      <name val="Arial"/>
      <family val="2"/>
    </font>
    <font>
      <i/>
      <sz val="10"/>
      <name val="Arial"/>
      <family val="2"/>
    </font>
    <font>
      <i/>
      <vertAlign val="subscript"/>
      <sz val="10"/>
      <name val="Arial"/>
      <family val="2"/>
    </font>
    <font>
      <b/>
      <sz val="8"/>
      <name val="Arial"/>
      <family val="0"/>
    </font>
    <font>
      <b/>
      <sz val="9.75"/>
      <name val="Arial"/>
      <family val="2"/>
    </font>
    <font>
      <sz val="5.75"/>
      <name val="Arial"/>
      <family val="0"/>
    </font>
    <font>
      <sz val="9"/>
      <name val="Arial"/>
      <family val="2"/>
    </font>
    <font>
      <sz val="10.25"/>
      <name val="Arial"/>
      <family val="0"/>
    </font>
    <font>
      <sz val="10.5"/>
      <name val="Arial"/>
      <family val="0"/>
    </font>
    <font>
      <b/>
      <sz val="12"/>
      <name val="Arial"/>
      <family val="0"/>
    </font>
    <font>
      <b/>
      <sz val="10.25"/>
      <name val="Arial"/>
      <family val="0"/>
    </font>
    <font>
      <b/>
      <sz val="13.25"/>
      <name val="Arial"/>
      <family val="2"/>
    </font>
    <font>
      <vertAlign val="superscript"/>
      <sz val="10"/>
      <name val="Arial"/>
      <family val="2"/>
    </font>
    <font>
      <b/>
      <vertAlign val="superscript"/>
      <sz val="10"/>
      <name val="Arial"/>
      <family val="2"/>
    </font>
    <font>
      <b/>
      <sz val="10.5"/>
      <name val="Arial"/>
      <family val="2"/>
    </font>
    <font>
      <u val="single"/>
      <sz val="10"/>
      <color indexed="12"/>
      <name val="Arial"/>
      <family val="0"/>
    </font>
    <font>
      <u val="single"/>
      <sz val="10"/>
      <color indexed="36"/>
      <name val="Arial"/>
      <family val="0"/>
    </font>
    <font>
      <sz val="9.5"/>
      <name val="Arial"/>
      <family val="0"/>
    </font>
    <font>
      <sz val="8"/>
      <name val="Tahoma"/>
      <family val="0"/>
    </font>
    <font>
      <vertAlign val="subscript"/>
      <sz val="8"/>
      <name val="Tahoma"/>
      <family val="2"/>
    </font>
    <font>
      <b/>
      <sz val="8"/>
      <name val="Tahoma"/>
      <family val="0"/>
    </font>
    <font>
      <b/>
      <sz val="14"/>
      <name val="Arial"/>
      <family val="2"/>
    </font>
    <font>
      <sz val="10"/>
      <name val="Tahoma"/>
      <family val="2"/>
    </font>
    <font>
      <vertAlign val="subscript"/>
      <sz val="10"/>
      <name val="Tahoma"/>
      <family val="2"/>
    </font>
    <font>
      <b/>
      <sz val="9.5"/>
      <name val="Arial"/>
      <family val="0"/>
    </font>
  </fonts>
  <fills count="11">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45"/>
        <bgColor indexed="64"/>
      </patternFill>
    </fill>
    <fill>
      <patternFill patternType="solid">
        <fgColor indexed="52"/>
        <bgColor indexed="64"/>
      </patternFill>
    </fill>
    <fill>
      <patternFill patternType="solid">
        <fgColor indexed="10"/>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ck"/>
      <bottom style="thin"/>
    </border>
    <border>
      <left style="thick"/>
      <right style="thin"/>
      <top style="thin"/>
      <bottom style="thin"/>
    </border>
    <border>
      <left>
        <color indexed="63"/>
      </left>
      <right style="thick"/>
      <top style="thin"/>
      <bottom style="thin"/>
    </border>
    <border>
      <left>
        <color indexed="63"/>
      </left>
      <right style="thick"/>
      <top style="thin"/>
      <bottom style="thick"/>
    </border>
    <border>
      <left style="thin"/>
      <right style="thin"/>
      <top>
        <color indexed="63"/>
      </top>
      <bottom style="thin"/>
    </border>
    <border>
      <left style="thin"/>
      <right style="thin"/>
      <top>
        <color indexed="63"/>
      </top>
      <bottom>
        <color indexed="63"/>
      </bottom>
    </border>
    <border>
      <left style="thick"/>
      <right style="thin"/>
      <top style="thin"/>
      <bottom style="thick"/>
    </border>
    <border>
      <left style="thin"/>
      <right style="thin"/>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cellStyleXfs>
  <cellXfs count="80">
    <xf numFmtId="0" fontId="0" fillId="0" borderId="0" xfId="0" applyAlignment="1">
      <alignment/>
    </xf>
    <xf numFmtId="0" fontId="2" fillId="2" borderId="0" xfId="0" applyFont="1" applyFill="1" applyAlignment="1">
      <alignment/>
    </xf>
    <xf numFmtId="0" fontId="2" fillId="0" borderId="1" xfId="0" applyFont="1" applyBorder="1"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xf numFmtId="0" fontId="0" fillId="3" borderId="0" xfId="0" applyFill="1" applyAlignment="1">
      <alignment horizontal="center"/>
    </xf>
    <xf numFmtId="0" fontId="2" fillId="0" borderId="0" xfId="0" applyFont="1" applyFill="1" applyAlignment="1">
      <alignment/>
    </xf>
    <xf numFmtId="0" fontId="2" fillId="4" borderId="1" xfId="0" applyFont="1" applyFill="1" applyBorder="1" applyAlignment="1">
      <alignment horizontal="center"/>
    </xf>
    <xf numFmtId="0" fontId="2" fillId="5" borderId="1" xfId="0" applyFont="1" applyFill="1" applyBorder="1" applyAlignment="1">
      <alignment horizontal="center"/>
    </xf>
    <xf numFmtId="0" fontId="0" fillId="5" borderId="1" xfId="0" applyFill="1" applyBorder="1" applyAlignment="1">
      <alignment horizontal="center"/>
    </xf>
    <xf numFmtId="0" fontId="2" fillId="6" borderId="0" xfId="0" applyFont="1" applyFill="1" applyAlignment="1">
      <alignment/>
    </xf>
    <xf numFmtId="0" fontId="0" fillId="6" borderId="0" xfId="0" applyFill="1" applyAlignment="1">
      <alignment/>
    </xf>
    <xf numFmtId="0" fontId="0" fillId="6" borderId="1" xfId="0" applyFill="1" applyBorder="1" applyAlignment="1">
      <alignment/>
    </xf>
    <xf numFmtId="0" fontId="0" fillId="6" borderId="1" xfId="0" applyFill="1" applyBorder="1" applyAlignment="1">
      <alignment horizontal="center"/>
    </xf>
    <xf numFmtId="0" fontId="5" fillId="6" borderId="1" xfId="0" applyFont="1" applyFill="1" applyBorder="1" applyAlignment="1">
      <alignment/>
    </xf>
    <xf numFmtId="0" fontId="0" fillId="6" borderId="0" xfId="0" applyFill="1" applyAlignment="1">
      <alignment/>
    </xf>
    <xf numFmtId="0" fontId="0" fillId="6" borderId="2" xfId="0" applyFill="1" applyBorder="1" applyAlignment="1">
      <alignment/>
    </xf>
    <xf numFmtId="0" fontId="0" fillId="6" borderId="1" xfId="0" applyFill="1" applyBorder="1" applyAlignment="1">
      <alignment/>
    </xf>
    <xf numFmtId="0" fontId="0" fillId="6" borderId="0" xfId="0" applyFill="1" applyAlignment="1">
      <alignment horizontal="center"/>
    </xf>
    <xf numFmtId="0" fontId="0" fillId="6" borderId="0" xfId="0" applyFill="1" applyAlignment="1">
      <alignment wrapText="1"/>
    </xf>
    <xf numFmtId="1" fontId="0" fillId="6" borderId="1" xfId="0" applyNumberFormat="1" applyFill="1" applyBorder="1" applyAlignment="1">
      <alignment horizontal="center"/>
    </xf>
    <xf numFmtId="0" fontId="2" fillId="6" borderId="0" xfId="0" applyFont="1" applyFill="1" applyAlignment="1">
      <alignment vertical="top" wrapText="1"/>
    </xf>
    <xf numFmtId="0" fontId="2" fillId="6" borderId="1" xfId="0" applyFont="1" applyFill="1" applyBorder="1" applyAlignment="1">
      <alignment horizontal="center"/>
    </xf>
    <xf numFmtId="0" fontId="2" fillId="6" borderId="0" xfId="0" applyFont="1" applyFill="1" applyAlignment="1">
      <alignment horizontal="right"/>
    </xf>
    <xf numFmtId="0" fontId="2" fillId="7" borderId="1" xfId="0" applyFont="1" applyFill="1" applyBorder="1" applyAlignment="1">
      <alignment horizontal="center"/>
    </xf>
    <xf numFmtId="1" fontId="0" fillId="3" borderId="1" xfId="0" applyNumberFormat="1" applyFill="1" applyBorder="1" applyAlignment="1">
      <alignment horizontal="center"/>
    </xf>
    <xf numFmtId="0" fontId="2" fillId="8" borderId="1" xfId="0" applyFont="1" applyFill="1" applyBorder="1" applyAlignment="1">
      <alignment horizontal="center"/>
    </xf>
    <xf numFmtId="0" fontId="0" fillId="8" borderId="1" xfId="0" applyFill="1" applyBorder="1" applyAlignment="1">
      <alignment horizontal="center"/>
    </xf>
    <xf numFmtId="0" fontId="2" fillId="6" borderId="0" xfId="0" applyFont="1" applyFill="1" applyAlignment="1">
      <alignment vertical="top"/>
    </xf>
    <xf numFmtId="0" fontId="2" fillId="6" borderId="0" xfId="0" applyFont="1" applyFill="1" applyAlignment="1">
      <alignment wrapText="1"/>
    </xf>
    <xf numFmtId="0" fontId="0" fillId="6" borderId="0" xfId="0" applyFill="1" applyBorder="1" applyAlignment="1">
      <alignment horizontal="center"/>
    </xf>
    <xf numFmtId="0" fontId="2" fillId="6" borderId="0" xfId="0" applyFont="1" applyFill="1" applyAlignment="1">
      <alignment/>
    </xf>
    <xf numFmtId="0" fontId="2" fillId="6" borderId="0" xfId="0" applyFont="1" applyFill="1" applyAlignment="1">
      <alignment horizontal="center"/>
    </xf>
    <xf numFmtId="0" fontId="0" fillId="6" borderId="1" xfId="20" applyNumberFormat="1" applyFill="1" applyBorder="1" applyAlignment="1">
      <alignment horizontal="center"/>
    </xf>
    <xf numFmtId="0" fontId="2" fillId="9" borderId="1" xfId="0" applyFont="1" applyFill="1" applyBorder="1" applyAlignment="1">
      <alignment horizontal="center"/>
    </xf>
    <xf numFmtId="0" fontId="0" fillId="6" borderId="3" xfId="0" applyFill="1" applyBorder="1" applyAlignment="1">
      <alignment horizontal="center"/>
    </xf>
    <xf numFmtId="2" fontId="0" fillId="6" borderId="1" xfId="0" applyNumberFormat="1" applyFill="1" applyBorder="1" applyAlignment="1">
      <alignment horizontal="center"/>
    </xf>
    <xf numFmtId="2" fontId="2" fillId="8" borderId="1" xfId="0" applyNumberFormat="1" applyFont="1" applyFill="1" applyBorder="1" applyAlignment="1">
      <alignment horizontal="center"/>
    </xf>
    <xf numFmtId="2" fontId="2" fillId="0" borderId="1" xfId="0" applyNumberFormat="1" applyFont="1" applyFill="1" applyBorder="1" applyAlignment="1">
      <alignment horizontal="center"/>
    </xf>
    <xf numFmtId="0" fontId="0" fillId="6" borderId="0" xfId="0" applyFill="1" applyAlignment="1">
      <alignment vertical="top"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2" fillId="6" borderId="1" xfId="0" applyFont="1" applyFill="1" applyBorder="1" applyAlignment="1">
      <alignment/>
    </xf>
    <xf numFmtId="0" fontId="0" fillId="6" borderId="8" xfId="0" applyFill="1" applyBorder="1" applyAlignment="1">
      <alignment horizontal="center"/>
    </xf>
    <xf numFmtId="0" fontId="0" fillId="6" borderId="8" xfId="0" applyFill="1" applyBorder="1" applyAlignment="1">
      <alignment/>
    </xf>
    <xf numFmtId="0" fontId="0" fillId="6" borderId="9" xfId="0" applyFont="1" applyFill="1" applyBorder="1" applyAlignment="1">
      <alignment horizontal="center"/>
    </xf>
    <xf numFmtId="0" fontId="0" fillId="6" borderId="10" xfId="0" applyFont="1" applyFill="1" applyBorder="1" applyAlignment="1">
      <alignment horizontal="center"/>
    </xf>
    <xf numFmtId="0" fontId="2" fillId="6" borderId="1" xfId="0" applyFont="1" applyFill="1" applyBorder="1" applyAlignment="1">
      <alignment/>
    </xf>
    <xf numFmtId="0" fontId="2" fillId="10" borderId="1" xfId="0" applyFont="1" applyFill="1" applyBorder="1" applyAlignment="1">
      <alignment/>
    </xf>
    <xf numFmtId="1" fontId="2" fillId="10" borderId="1" xfId="0" applyNumberFormat="1" applyFont="1" applyFill="1" applyBorder="1" applyAlignment="1">
      <alignment horizontal="center"/>
    </xf>
    <xf numFmtId="0" fontId="2" fillId="9" borderId="11" xfId="0" applyFont="1" applyFill="1" applyBorder="1" applyAlignment="1">
      <alignment horizontal="center"/>
    </xf>
    <xf numFmtId="0" fontId="0" fillId="6" borderId="12" xfId="0" applyFill="1" applyBorder="1" applyAlignment="1">
      <alignment horizontal="center"/>
    </xf>
    <xf numFmtId="0" fontId="2" fillId="8" borderId="11" xfId="0" applyFont="1"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6" borderId="13" xfId="0" applyFill="1" applyBorder="1" applyAlignment="1">
      <alignment/>
    </xf>
    <xf numFmtId="1" fontId="2" fillId="6" borderId="1" xfId="0" applyNumberFormat="1" applyFont="1" applyFill="1" applyBorder="1" applyAlignment="1">
      <alignment horizontal="center"/>
    </xf>
    <xf numFmtId="0" fontId="2" fillId="6" borderId="0" xfId="0" applyFont="1" applyFill="1" applyBorder="1" applyAlignment="1">
      <alignment horizontal="center"/>
    </xf>
    <xf numFmtId="0" fontId="2" fillId="5" borderId="1" xfId="0" applyFont="1" applyFill="1" applyBorder="1" applyAlignment="1">
      <alignment/>
    </xf>
    <xf numFmtId="0" fontId="0" fillId="7" borderId="1" xfId="0" applyFill="1" applyBorder="1" applyAlignment="1">
      <alignment horizontal="center"/>
    </xf>
    <xf numFmtId="0" fontId="5" fillId="6" borderId="1" xfId="0" applyFont="1" applyFill="1" applyBorder="1" applyAlignment="1">
      <alignment/>
    </xf>
    <xf numFmtId="0" fontId="2" fillId="6" borderId="0" xfId="0" applyFont="1" applyFill="1" applyAlignment="1">
      <alignment wrapText="1"/>
    </xf>
    <xf numFmtId="0" fontId="2" fillId="6" borderId="0" xfId="0" applyFont="1" applyFill="1" applyAlignment="1">
      <alignment vertical="top" wrapText="1"/>
    </xf>
    <xf numFmtId="0" fontId="2" fillId="8" borderId="0" xfId="0" applyFont="1" applyFill="1" applyAlignment="1">
      <alignment horizontal="center"/>
    </xf>
    <xf numFmtId="0" fontId="0" fillId="0" borderId="0" xfId="0" applyAlignment="1">
      <alignment/>
    </xf>
    <xf numFmtId="0" fontId="2" fillId="3" borderId="0" xfId="0" applyFont="1" applyFill="1" applyAlignment="1">
      <alignment horizontal="center"/>
    </xf>
    <xf numFmtId="0" fontId="0" fillId="6" borderId="0" xfId="0" applyFill="1" applyAlignment="1">
      <alignment wrapText="1"/>
    </xf>
    <xf numFmtId="0" fontId="0" fillId="0" borderId="0" xfId="0" applyAlignment="1">
      <alignment wrapText="1"/>
    </xf>
    <xf numFmtId="0" fontId="2" fillId="8" borderId="0" xfId="0" applyFont="1" applyFill="1" applyBorder="1" applyAlignment="1">
      <alignment horizontal="center"/>
    </xf>
    <xf numFmtId="0" fontId="2" fillId="6" borderId="0" xfId="0" applyFont="1" applyFill="1" applyAlignment="1">
      <alignment/>
    </xf>
    <xf numFmtId="0" fontId="0" fillId="6" borderId="0" xfId="0" applyFill="1" applyAlignment="1">
      <alignment/>
    </xf>
    <xf numFmtId="0" fontId="0" fillId="6" borderId="0" xfId="0" applyFill="1" applyAlignment="1">
      <alignment vertical="top" wrapText="1"/>
    </xf>
    <xf numFmtId="0" fontId="2" fillId="8" borderId="1" xfId="0" applyFont="1" applyFill="1" applyBorder="1" applyAlignment="1">
      <alignment horizontal="center"/>
    </xf>
    <xf numFmtId="0" fontId="0" fillId="8" borderId="1" xfId="0" applyFill="1" applyBorder="1" applyAlignment="1">
      <alignment horizontal="center"/>
    </xf>
    <xf numFmtId="0" fontId="2" fillId="0" borderId="1" xfId="0" applyFont="1" applyFill="1" applyBorder="1" applyAlignment="1">
      <alignment horizontal="center"/>
    </xf>
    <xf numFmtId="0" fontId="2" fillId="9" borderId="0" xfId="0" applyFont="1" applyFill="1" applyBorder="1" applyAlignment="1">
      <alignment horizontal="center"/>
    </xf>
    <xf numFmtId="0" fontId="2" fillId="6" borderId="1" xfId="0" applyFont="1" applyFill="1" applyBorder="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Průběh skladovacích nákladů</a:t>
            </a:r>
          </a:p>
        </c:rich>
      </c:tx>
      <c:layout/>
      <c:spPr>
        <a:noFill/>
        <a:ln>
          <a:noFill/>
        </a:ln>
      </c:spPr>
    </c:title>
    <c:plotArea>
      <c:layout>
        <c:manualLayout>
          <c:xMode val="edge"/>
          <c:yMode val="edge"/>
          <c:x val="0.07725"/>
          <c:y val="0.12225"/>
          <c:w val="0.89775"/>
          <c:h val="0.752"/>
        </c:manualLayout>
      </c:layout>
      <c:lineChart>
        <c:grouping val="standard"/>
        <c:varyColors val="0"/>
        <c:ser>
          <c:idx val="0"/>
          <c:order val="0"/>
          <c:tx>
            <c:strRef>
              <c:f>'Zakladni model'!$B$24</c:f>
              <c:strCache>
                <c:ptCount val="1"/>
                <c:pt idx="0">
                  <c:v>Nsklad[Kč]</c:v>
                </c:pt>
              </c:strCache>
            </c:strRef>
          </c:tx>
          <c:extLst>
            <c:ext xmlns:c14="http://schemas.microsoft.com/office/drawing/2007/8/2/chart" uri="{6F2FDCE9-48DA-4B69-8628-5D25D57E5C99}">
              <c14:invertSolidFillFmt>
                <c14:spPr>
                  <a:solidFill>
                    <a:srgbClr val="000000"/>
                  </a:solidFill>
                </c14:spPr>
              </c14:invertSolidFillFmt>
            </c:ext>
          </c:extLst>
          <c:cat>
            <c:numRef>
              <c:f>'Zakladni model'!$A$25:$A$35</c:f>
              <c:numCache/>
            </c:numRef>
          </c:cat>
          <c:val>
            <c:numRef>
              <c:f>'Zakladni model'!$B$25:$B$35</c:f>
              <c:numCache/>
            </c:numRef>
          </c:val>
          <c:smooth val="0"/>
        </c:ser>
        <c:marker val="1"/>
        <c:axId val="62555577"/>
        <c:axId val="26129282"/>
      </c:lineChart>
      <c:catAx>
        <c:axId val="62555577"/>
        <c:scaling>
          <c:orientation val="minMax"/>
        </c:scaling>
        <c:axPos val="b"/>
        <c:title>
          <c:tx>
            <c:rich>
              <a:bodyPr vert="horz" rot="0" anchor="ctr"/>
              <a:lstStyle/>
              <a:p>
                <a:pPr algn="ctr">
                  <a:defRPr/>
                </a:pPr>
                <a:r>
                  <a:rPr lang="en-US" cap="none" sz="800" b="1" i="0" u="none" baseline="0">
                    <a:latin typeface="Arial"/>
                    <a:ea typeface="Arial"/>
                    <a:cs typeface="Arial"/>
                  </a:rPr>
                  <a:t>Velikost objednávky [tun]</a:t>
                </a:r>
              </a:p>
            </c:rich>
          </c:tx>
          <c:layout/>
          <c:overlay val="0"/>
          <c:spPr>
            <a:noFill/>
            <a:ln>
              <a:noFill/>
            </a:ln>
          </c:spPr>
        </c:title>
        <c:delete val="0"/>
        <c:numFmt formatCode="General" sourceLinked="1"/>
        <c:majorTickMark val="out"/>
        <c:minorTickMark val="none"/>
        <c:tickLblPos val="nextTo"/>
        <c:crossAx val="26129282"/>
        <c:crosses val="autoZero"/>
        <c:auto val="1"/>
        <c:lblOffset val="100"/>
        <c:noMultiLvlLbl val="0"/>
      </c:catAx>
      <c:valAx>
        <c:axId val="26129282"/>
        <c:scaling>
          <c:orientation val="minMax"/>
        </c:scaling>
        <c:axPos val="l"/>
        <c:title>
          <c:tx>
            <c:rich>
              <a:bodyPr vert="horz" rot="-5400000" anchor="ctr"/>
              <a:lstStyle/>
              <a:p>
                <a:pPr algn="ctr">
                  <a:defRPr/>
                </a:pPr>
                <a:r>
                  <a:rPr lang="en-US" cap="none" sz="800" b="1" i="0" u="none" baseline="0">
                    <a:latin typeface="Arial"/>
                    <a:ea typeface="Arial"/>
                    <a:cs typeface="Arial"/>
                  </a:rPr>
                  <a:t>Nsklad [Kč]</a:t>
                </a:r>
              </a:p>
            </c:rich>
          </c:tx>
          <c:layout/>
          <c:overlay val="0"/>
          <c:spPr>
            <a:noFill/>
            <a:ln>
              <a:noFill/>
            </a:ln>
          </c:spPr>
        </c:title>
        <c:majorGridlines/>
        <c:delete val="0"/>
        <c:numFmt formatCode="General" sourceLinked="1"/>
        <c:majorTickMark val="out"/>
        <c:minorTickMark val="none"/>
        <c:tickLblPos val="nextTo"/>
        <c:crossAx val="6255557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Průběh objednacích nákladů</a:t>
            </a:r>
          </a:p>
        </c:rich>
      </c:tx>
      <c:layout/>
      <c:spPr>
        <a:noFill/>
        <a:ln>
          <a:noFill/>
        </a:ln>
      </c:spPr>
    </c:title>
    <c:plotArea>
      <c:layout>
        <c:manualLayout>
          <c:xMode val="edge"/>
          <c:yMode val="edge"/>
          <c:x val="0.08"/>
          <c:y val="0.12275"/>
          <c:w val="0.89425"/>
          <c:h val="0.7515"/>
        </c:manualLayout>
      </c:layout>
      <c:lineChart>
        <c:grouping val="standard"/>
        <c:varyColors val="0"/>
        <c:ser>
          <c:idx val="0"/>
          <c:order val="0"/>
          <c:tx>
            <c:strRef>
              <c:f>'Zakladni model'!$C$24</c:f>
              <c:strCache>
                <c:ptCount val="1"/>
                <c:pt idx="0">
                  <c:v>Nobj[Kč]</c:v>
                </c:pt>
              </c:strCache>
            </c:strRef>
          </c:tx>
          <c:extLst>
            <c:ext xmlns:c14="http://schemas.microsoft.com/office/drawing/2007/8/2/chart" uri="{6F2FDCE9-48DA-4B69-8628-5D25D57E5C99}">
              <c14:invertSolidFillFmt>
                <c14:spPr>
                  <a:solidFill>
                    <a:srgbClr val="000000"/>
                  </a:solidFill>
                </c14:spPr>
              </c14:invertSolidFillFmt>
            </c:ext>
          </c:extLst>
          <c:cat>
            <c:numRef>
              <c:f>'Zakladni model'!$A$25:$A$35</c:f>
              <c:numCache/>
            </c:numRef>
          </c:cat>
          <c:val>
            <c:numRef>
              <c:f>'Zakladni model'!$C$25:$C$35</c:f>
              <c:numCache/>
            </c:numRef>
          </c:val>
          <c:smooth val="0"/>
        </c:ser>
        <c:marker val="1"/>
        <c:axId val="33836947"/>
        <c:axId val="36097068"/>
      </c:lineChart>
      <c:catAx>
        <c:axId val="33836947"/>
        <c:scaling>
          <c:orientation val="minMax"/>
        </c:scaling>
        <c:axPos val="b"/>
        <c:title>
          <c:tx>
            <c:rich>
              <a:bodyPr vert="horz" rot="0" anchor="ctr"/>
              <a:lstStyle/>
              <a:p>
                <a:pPr algn="ctr">
                  <a:defRPr/>
                </a:pPr>
                <a:r>
                  <a:rPr lang="en-US" cap="none" sz="800" b="1" i="0" u="none" baseline="0">
                    <a:latin typeface="Arial"/>
                    <a:ea typeface="Arial"/>
                    <a:cs typeface="Arial"/>
                  </a:rPr>
                  <a:t>Velikost objednávky [tun]</a:t>
                </a:r>
              </a:p>
            </c:rich>
          </c:tx>
          <c:layout/>
          <c:overlay val="0"/>
          <c:spPr>
            <a:noFill/>
            <a:ln>
              <a:noFill/>
            </a:ln>
          </c:spPr>
        </c:title>
        <c:delete val="0"/>
        <c:numFmt formatCode="General" sourceLinked="1"/>
        <c:majorTickMark val="out"/>
        <c:minorTickMark val="none"/>
        <c:tickLblPos val="nextTo"/>
        <c:crossAx val="36097068"/>
        <c:crosses val="autoZero"/>
        <c:auto val="1"/>
        <c:lblOffset val="100"/>
        <c:noMultiLvlLbl val="0"/>
      </c:catAx>
      <c:valAx>
        <c:axId val="36097068"/>
        <c:scaling>
          <c:orientation val="minMax"/>
        </c:scaling>
        <c:axPos val="l"/>
        <c:title>
          <c:tx>
            <c:rich>
              <a:bodyPr vert="horz" rot="-5400000" anchor="ctr"/>
              <a:lstStyle/>
              <a:p>
                <a:pPr algn="ctr">
                  <a:defRPr/>
                </a:pPr>
                <a:r>
                  <a:rPr lang="en-US" cap="none" sz="800" b="1" i="0" u="none" baseline="0">
                    <a:latin typeface="Arial"/>
                    <a:ea typeface="Arial"/>
                    <a:cs typeface="Arial"/>
                  </a:rPr>
                  <a:t>Nobj [Kč]</a:t>
                </a:r>
              </a:p>
            </c:rich>
          </c:tx>
          <c:layout/>
          <c:overlay val="0"/>
          <c:spPr>
            <a:noFill/>
            <a:ln>
              <a:noFill/>
            </a:ln>
          </c:spPr>
        </c:title>
        <c:majorGridlines/>
        <c:delete val="0"/>
        <c:numFmt formatCode="General" sourceLinked="1"/>
        <c:majorTickMark val="out"/>
        <c:minorTickMark val="none"/>
        <c:tickLblPos val="nextTo"/>
        <c:crossAx val="338369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Průběh celkových nákladů</a:t>
            </a:r>
          </a:p>
        </c:rich>
      </c:tx>
      <c:layout/>
      <c:spPr>
        <a:noFill/>
        <a:ln>
          <a:noFill/>
        </a:ln>
      </c:spPr>
    </c:title>
    <c:plotArea>
      <c:layout>
        <c:manualLayout>
          <c:xMode val="edge"/>
          <c:yMode val="edge"/>
          <c:x val="0.0775"/>
          <c:y val="0.12425"/>
          <c:w val="0.8975"/>
          <c:h val="0.7475"/>
        </c:manualLayout>
      </c:layout>
      <c:lineChart>
        <c:grouping val="standard"/>
        <c:varyColors val="0"/>
        <c:ser>
          <c:idx val="0"/>
          <c:order val="0"/>
          <c:tx>
            <c:strRef>
              <c:f>'Zakladni model'!$D$24</c:f>
              <c:strCache>
                <c:ptCount val="1"/>
                <c:pt idx="0">
                  <c:v>Nc[Kč]</c:v>
                </c:pt>
              </c:strCache>
            </c:strRef>
          </c:tx>
          <c:extLst>
            <c:ext xmlns:c14="http://schemas.microsoft.com/office/drawing/2007/8/2/chart" uri="{6F2FDCE9-48DA-4B69-8628-5D25D57E5C99}">
              <c14:invertSolidFillFmt>
                <c14:spPr>
                  <a:solidFill>
                    <a:srgbClr val="000000"/>
                  </a:solidFill>
                </c14:spPr>
              </c14:invertSolidFillFmt>
            </c:ext>
          </c:extLst>
          <c:cat>
            <c:numRef>
              <c:f>'Zakladni model'!$A$25:$A$35</c:f>
              <c:numCache/>
            </c:numRef>
          </c:cat>
          <c:val>
            <c:numRef>
              <c:f>'Zakladni model'!$D$25:$D$35</c:f>
              <c:numCache/>
            </c:numRef>
          </c:val>
          <c:smooth val="0"/>
        </c:ser>
        <c:marker val="1"/>
        <c:axId val="56438157"/>
        <c:axId val="38181366"/>
      </c:lineChart>
      <c:catAx>
        <c:axId val="56438157"/>
        <c:scaling>
          <c:orientation val="minMax"/>
        </c:scaling>
        <c:axPos val="b"/>
        <c:title>
          <c:tx>
            <c:rich>
              <a:bodyPr vert="horz" rot="0" anchor="ctr"/>
              <a:lstStyle/>
              <a:p>
                <a:pPr algn="ctr">
                  <a:defRPr/>
                </a:pPr>
                <a:r>
                  <a:rPr lang="en-US" cap="none" sz="800" b="1" i="0" u="none" baseline="0">
                    <a:latin typeface="Arial"/>
                    <a:ea typeface="Arial"/>
                    <a:cs typeface="Arial"/>
                  </a:rPr>
                  <a:t>Velikost objednávky [tun]</a:t>
                </a:r>
              </a:p>
            </c:rich>
          </c:tx>
          <c:layout/>
          <c:overlay val="0"/>
          <c:spPr>
            <a:noFill/>
            <a:ln>
              <a:noFill/>
            </a:ln>
          </c:spPr>
        </c:title>
        <c:delete val="0"/>
        <c:numFmt formatCode="General" sourceLinked="1"/>
        <c:majorTickMark val="out"/>
        <c:minorTickMark val="none"/>
        <c:tickLblPos val="nextTo"/>
        <c:crossAx val="38181366"/>
        <c:crosses val="autoZero"/>
        <c:auto val="1"/>
        <c:lblOffset val="100"/>
        <c:noMultiLvlLbl val="0"/>
      </c:catAx>
      <c:valAx>
        <c:axId val="38181366"/>
        <c:scaling>
          <c:orientation val="minMax"/>
        </c:scaling>
        <c:axPos val="l"/>
        <c:title>
          <c:tx>
            <c:rich>
              <a:bodyPr vert="horz" rot="-5400000" anchor="ctr"/>
              <a:lstStyle/>
              <a:p>
                <a:pPr algn="ctr">
                  <a:defRPr/>
                </a:pPr>
                <a:r>
                  <a:rPr lang="en-US" cap="none" sz="800" b="1" i="0" u="none" baseline="0">
                    <a:latin typeface="Arial"/>
                    <a:ea typeface="Arial"/>
                    <a:cs typeface="Arial"/>
                  </a:rPr>
                  <a:t>Nobj [Kč]</a:t>
                </a:r>
              </a:p>
            </c:rich>
          </c:tx>
          <c:layout/>
          <c:overlay val="0"/>
          <c:spPr>
            <a:noFill/>
            <a:ln>
              <a:noFill/>
            </a:ln>
          </c:spPr>
        </c:title>
        <c:majorGridlines/>
        <c:delete val="0"/>
        <c:numFmt formatCode="General" sourceLinked="1"/>
        <c:majorTickMark val="out"/>
        <c:minorTickMark val="none"/>
        <c:tickLblPos val="nextTo"/>
        <c:crossAx val="5643815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Průběh zásoby na skladě</a:t>
            </a:r>
          </a:p>
        </c:rich>
      </c:tx>
      <c:layout/>
      <c:spPr>
        <a:noFill/>
        <a:ln>
          <a:noFill/>
        </a:ln>
      </c:spPr>
    </c:title>
    <c:plotArea>
      <c:layout>
        <c:manualLayout>
          <c:xMode val="edge"/>
          <c:yMode val="edge"/>
          <c:x val="0.041"/>
          <c:y val="0.10425"/>
          <c:w val="0.941"/>
          <c:h val="0.767"/>
        </c:manualLayout>
      </c:layout>
      <c:lineChart>
        <c:grouping val="standard"/>
        <c:varyColors val="0"/>
        <c:ser>
          <c:idx val="0"/>
          <c:order val="0"/>
          <c:tx>
            <c:strRef>
              <c:f>'Zakladni model'!$B$53</c:f>
              <c:strCache>
                <c:ptCount val="1"/>
                <c:pt idx="0">
                  <c:v>Zásoba[tun]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80"/>
                </a:solidFill>
              </a:ln>
            </c:spPr>
          </c:marker>
          <c:cat>
            <c:numRef>
              <c:f>'Zakladni model'!$A$54:$A$92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'Zakladni model'!$B$54:$B$92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ser>
          <c:idx val="1"/>
          <c:order val="1"/>
          <c:tx>
            <c:strRef>
              <c:f>'Zakladni model'!$C$53</c:f>
              <c:strCache>
                <c:ptCount val="1"/>
                <c:pt idx="0">
                  <c:v>Signál[tun]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'Zakladni model'!$A$54:$A$92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cat>
          <c:val>
            <c:numRef>
              <c:f>'Zakladni model'!$C$54:$C$92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mooth val="0"/>
        </c:ser>
        <c:marker val="1"/>
        <c:axId val="8087975"/>
        <c:axId val="5682912"/>
      </c:lineChart>
      <c:catAx>
        <c:axId val="8087975"/>
        <c:scaling>
          <c:orientation val="minMax"/>
        </c:scaling>
        <c:axPos val="b"/>
        <c:title>
          <c:tx>
            <c:rich>
              <a:bodyPr vert="horz" rot="0" anchor="ctr"/>
              <a:lstStyle/>
              <a:p>
                <a:pPr algn="ctr">
                  <a:defRPr/>
                </a:pPr>
                <a:r>
                  <a:rPr lang="en-US" cap="none" sz="1025" b="1" i="0" u="none" baseline="0">
                    <a:latin typeface="Arial"/>
                    <a:ea typeface="Arial"/>
                    <a:cs typeface="Arial"/>
                  </a:rPr>
                  <a:t>Den</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682912"/>
        <c:crosses val="autoZero"/>
        <c:auto val="1"/>
        <c:lblOffset val="100"/>
        <c:noMultiLvlLbl val="0"/>
      </c:catAx>
      <c:valAx>
        <c:axId val="5682912"/>
        <c:scaling>
          <c:orientation val="minMax"/>
        </c:scaling>
        <c:axPos val="l"/>
        <c:title>
          <c:tx>
            <c:rich>
              <a:bodyPr vert="horz" rot="-5400000" anchor="ctr"/>
              <a:lstStyle/>
              <a:p>
                <a:pPr algn="ctr">
                  <a:defRPr/>
                </a:pPr>
                <a:r>
                  <a:rPr lang="en-US" cap="none" sz="1025" b="1" i="0" u="none" baseline="0">
                    <a:latin typeface="Arial"/>
                    <a:ea typeface="Arial"/>
                    <a:cs typeface="Arial"/>
                  </a:rPr>
                  <a:t>Zásoba [tun]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087975"/>
        <c:crossesAt val="1"/>
        <c:crossBetween val="between"/>
        <c:dispUnits/>
      </c:valAx>
      <c:spPr>
        <a:solidFill>
          <a:srgbClr val="C0C0C0"/>
        </a:solidFill>
        <a:ln w="12700">
          <a:solidFill>
            <a:srgbClr val="808080"/>
          </a:solidFill>
        </a:ln>
      </c:spPr>
    </c:plotArea>
    <c:legend>
      <c:legendPos val="b"/>
      <c:layout>
        <c:manualLayout>
          <c:xMode val="edge"/>
          <c:yMode val="edge"/>
          <c:x val="0.34025"/>
          <c:y val="0.93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Průběh celkových nákladů</a:t>
            </a:r>
          </a:p>
        </c:rich>
      </c:tx>
      <c:layout/>
      <c:spPr>
        <a:noFill/>
        <a:ln>
          <a:noFill/>
        </a:ln>
      </c:spPr>
    </c:title>
    <c:plotArea>
      <c:layout>
        <c:manualLayout>
          <c:xMode val="edge"/>
          <c:yMode val="edge"/>
          <c:x val="0.06775"/>
          <c:y val="0.0935"/>
          <c:w val="0.917"/>
          <c:h val="0.8205"/>
        </c:manualLayout>
      </c:layout>
      <c:lineChart>
        <c:grouping val="standard"/>
        <c:varyColors val="0"/>
        <c:ser>
          <c:idx val="0"/>
          <c:order val="0"/>
          <c:tx>
            <c:strRef>
              <c:f>'Nespojita poptavka'!$F$26</c:f>
              <c:strCache>
                <c:ptCount val="1"/>
                <c:pt idx="0">
                  <c:v>Nc</c:v>
                </c:pt>
              </c:strCache>
            </c:strRef>
          </c:tx>
          <c:extLst>
            <c:ext xmlns:c14="http://schemas.microsoft.com/office/drawing/2007/8/2/chart" uri="{6F2FDCE9-48DA-4B69-8628-5D25D57E5C99}">
              <c14:invertSolidFillFmt>
                <c14:spPr>
                  <a:solidFill>
                    <a:srgbClr val="000000"/>
                  </a:solidFill>
                </c14:spPr>
              </c14:invertSolidFillFmt>
            </c:ext>
          </c:extLst>
          <c:cat>
            <c:numRef>
              <c:f>'Nespojita poptavka'!$A$27:$A$56</c:f>
              <c:numCache/>
            </c:numRef>
          </c:cat>
          <c:val>
            <c:numRef>
              <c:f>'Nespojita poptavka'!$F$27:$F$56</c:f>
              <c:numCache/>
            </c:numRef>
          </c:val>
          <c:smooth val="0"/>
        </c:ser>
        <c:marker val="1"/>
        <c:axId val="51146209"/>
        <c:axId val="57662698"/>
      </c:lineChart>
      <c:catAx>
        <c:axId val="51146209"/>
        <c:scaling>
          <c:orientation val="minMax"/>
        </c:scaling>
        <c:axPos val="b"/>
        <c:title>
          <c:tx>
            <c:rich>
              <a:bodyPr vert="horz" rot="0" anchor="ctr"/>
              <a:lstStyle/>
              <a:p>
                <a:pPr algn="ctr">
                  <a:defRPr/>
                </a:pPr>
                <a:r>
                  <a:rPr lang="en-US" cap="none" sz="800" b="1" i="0" u="none" baseline="0">
                    <a:latin typeface="Arial"/>
                    <a:ea typeface="Arial"/>
                    <a:cs typeface="Arial"/>
                  </a:rPr>
                  <a:t>Velikost objednávky [ks]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662698"/>
        <c:crosses val="autoZero"/>
        <c:auto val="1"/>
        <c:lblOffset val="100"/>
        <c:tickLblSkip val="1"/>
        <c:noMultiLvlLbl val="0"/>
      </c:catAx>
      <c:valAx>
        <c:axId val="57662698"/>
        <c:scaling>
          <c:orientation val="minMax"/>
        </c:scaling>
        <c:axPos val="l"/>
        <c:title>
          <c:tx>
            <c:rich>
              <a:bodyPr vert="horz" rot="-5400000" anchor="ctr"/>
              <a:lstStyle/>
              <a:p>
                <a:pPr algn="ctr">
                  <a:defRPr/>
                </a:pPr>
                <a:r>
                  <a:rPr lang="en-US" cap="none" sz="800" b="1" i="0" u="none" baseline="0">
                    <a:latin typeface="Arial"/>
                    <a:ea typeface="Arial"/>
                    <a:cs typeface="Arial"/>
                  </a:rPr>
                  <a:t>Nc [Kč]</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14620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Ukázky nákladových křivek</a:t>
            </a:r>
          </a:p>
        </c:rich>
      </c:tx>
      <c:layout>
        <c:manualLayout>
          <c:xMode val="factor"/>
          <c:yMode val="factor"/>
          <c:x val="0.01925"/>
          <c:y val="0.011"/>
        </c:manualLayout>
      </c:layout>
      <c:spPr>
        <a:noFill/>
        <a:ln>
          <a:noFill/>
        </a:ln>
      </c:spPr>
    </c:title>
    <c:plotArea>
      <c:layout>
        <c:manualLayout>
          <c:xMode val="edge"/>
          <c:yMode val="edge"/>
          <c:x val="0.056"/>
          <c:y val="0.1565"/>
          <c:w val="0.9275"/>
          <c:h val="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RabatA!$A$39:$A$139</c:f>
              <c:numCache/>
            </c:numRef>
          </c:cat>
          <c:val>
            <c:numRef>
              <c:f>RabatA!$B$39:$B$139</c:f>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RabatA!$A$39:$A$139</c:f>
              <c:numCache/>
            </c:numRef>
          </c:cat>
          <c:val>
            <c:numRef>
              <c:f>RabatA!$C$39:$C$139</c:f>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RabatA!$A$39:$A$139</c:f>
              <c:numCache/>
            </c:numRef>
          </c:cat>
          <c:val>
            <c:numRef>
              <c:f>RabatA!$D$39:$D$139</c:f>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RabatA!$A$39:$A$139</c:f>
              <c:numCache/>
            </c:numRef>
          </c:cat>
          <c:val>
            <c:numRef>
              <c:f>RabatA!$E$39:$E$139</c:f>
              <c:numCache/>
            </c:numRef>
          </c: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RabatA!$A$39:$A$139</c:f>
              <c:numCache/>
            </c:numRef>
          </c:cat>
          <c:val>
            <c:numRef>
              <c:f>RabatA!$F$39:$F$139</c:f>
              <c:numCache/>
            </c:numRef>
          </c: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RabatA!$A$39:$A$139</c:f>
              <c:numCache/>
            </c:numRef>
          </c:cat>
          <c:val>
            <c:numRef>
              <c:f>RabatA!$G$39:$G$139</c:f>
              <c:numCache/>
            </c:numRef>
          </c:val>
          <c:smooth val="0"/>
        </c:ser>
        <c:marker val="1"/>
        <c:axId val="49202235"/>
        <c:axId val="40166932"/>
      </c:lineChart>
      <c:catAx>
        <c:axId val="49202235"/>
        <c:scaling>
          <c:orientation val="minMax"/>
        </c:scaling>
        <c:axPos val="b"/>
        <c:title>
          <c:tx>
            <c:rich>
              <a:bodyPr vert="horz" rot="0" anchor="ctr"/>
              <a:lstStyle/>
              <a:p>
                <a:pPr algn="ctr">
                  <a:defRPr/>
                </a:pPr>
                <a:r>
                  <a:rPr lang="en-US" cap="none" sz="950" b="1" i="0" u="none" baseline="0">
                    <a:latin typeface="Arial"/>
                    <a:ea typeface="Arial"/>
                    <a:cs typeface="Arial"/>
                  </a:rPr>
                  <a:t>Velikost objednávky [ks]</a:t>
                </a:r>
              </a:p>
            </c:rich>
          </c:tx>
          <c:layout>
            <c:manualLayout>
              <c:xMode val="factor"/>
              <c:yMode val="factor"/>
              <c:x val="0"/>
              <c:y val="-0.005"/>
            </c:manualLayout>
          </c:layout>
          <c:overlay val="0"/>
          <c:spPr>
            <a:noFill/>
            <a:ln>
              <a:noFill/>
            </a:ln>
          </c:spPr>
        </c:title>
        <c:delete val="0"/>
        <c:numFmt formatCode="General" sourceLinked="1"/>
        <c:majorTickMark val="out"/>
        <c:minorTickMark val="none"/>
        <c:tickLblPos val="nextTo"/>
        <c:crossAx val="40166932"/>
        <c:crosses val="autoZero"/>
        <c:auto val="1"/>
        <c:lblOffset val="100"/>
        <c:tickLblSkip val="20"/>
        <c:tickMarkSkip val="20"/>
        <c:noMultiLvlLbl val="0"/>
      </c:catAx>
      <c:valAx>
        <c:axId val="40166932"/>
        <c:scaling>
          <c:orientation val="minMax"/>
        </c:scaling>
        <c:axPos val="l"/>
        <c:title>
          <c:tx>
            <c:rich>
              <a:bodyPr vert="horz" rot="-5400000" anchor="ctr"/>
              <a:lstStyle/>
              <a:p>
                <a:pPr algn="ctr">
                  <a:defRPr/>
                </a:pPr>
                <a:r>
                  <a:rPr lang="en-US" cap="none" sz="950" b="1" i="0" u="none" baseline="0">
                    <a:latin typeface="Arial"/>
                    <a:ea typeface="Arial"/>
                    <a:cs typeface="Arial"/>
                  </a:rPr>
                  <a:t>Celkové náklady [Kč]</a:t>
                </a:r>
              </a:p>
            </c:rich>
          </c:tx>
          <c:layout/>
          <c:overlay val="0"/>
          <c:spPr>
            <a:noFill/>
            <a:ln>
              <a:noFill/>
            </a:ln>
          </c:spPr>
        </c:title>
        <c:majorGridlines/>
        <c:delete val="0"/>
        <c:numFmt formatCode="General" sourceLinked="1"/>
        <c:majorTickMark val="out"/>
        <c:minorTickMark val="none"/>
        <c:tickLblPos val="nextTo"/>
        <c:crossAx val="49202235"/>
        <c:crossesAt val="1"/>
        <c:crossBetween val="between"/>
        <c:dispUnits/>
        <c:majorUnit val="20000000"/>
      </c:valAx>
      <c:spPr>
        <a:no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Křivka optimálních strategií</a:t>
            </a:r>
          </a:p>
        </c:rich>
      </c:tx>
      <c:layout>
        <c:manualLayout>
          <c:xMode val="factor"/>
          <c:yMode val="factor"/>
          <c:x val="0.0395"/>
          <c:y val="0.026"/>
        </c:manualLayout>
      </c:layout>
      <c:spPr>
        <a:noFill/>
        <a:ln>
          <a:noFill/>
        </a:ln>
      </c:spPr>
    </c:title>
    <c:plotArea>
      <c:layout>
        <c:manualLayout>
          <c:xMode val="edge"/>
          <c:yMode val="edge"/>
          <c:x val="0.067"/>
          <c:y val="0.1725"/>
          <c:w val="0.912"/>
          <c:h val="0.702"/>
        </c:manualLayout>
      </c:layout>
      <c:scatterChart>
        <c:scatterStyle val="smooth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xVal>
            <c:numRef>
              <c:f>Krivka_optStr!$I$28:$I$37</c:f>
              <c:numCache/>
            </c:numRef>
          </c:xVal>
          <c:yVal>
            <c:numRef>
              <c:f>Krivka_optStr!$J$28:$J$37</c:f>
              <c:numCache/>
            </c:numRef>
          </c:yVal>
          <c:smooth val="1"/>
        </c:ser>
        <c:axId val="25958069"/>
        <c:axId val="32296030"/>
      </c:scatterChart>
      <c:valAx>
        <c:axId val="25958069"/>
        <c:scaling>
          <c:orientation val="minMax"/>
        </c:scaling>
        <c:axPos val="b"/>
        <c:title>
          <c:tx>
            <c:rich>
              <a:bodyPr vert="horz" rot="0" anchor="ctr"/>
              <a:lstStyle/>
              <a:p>
                <a:pPr algn="ctr">
                  <a:defRPr/>
                </a:pPr>
                <a:r>
                  <a:rPr lang="en-US" cap="none" sz="800" b="1" i="0" u="none" baseline="0">
                    <a:latin typeface="Arial"/>
                    <a:ea typeface="Arial"/>
                    <a:cs typeface="Arial"/>
                  </a:rPr>
                  <a:t>Počet objednávek oopt</a:t>
                </a:r>
              </a:p>
            </c:rich>
          </c:tx>
          <c:layout/>
          <c:overlay val="0"/>
          <c:spPr>
            <a:noFill/>
            <a:ln>
              <a:noFill/>
            </a:ln>
          </c:spPr>
        </c:title>
        <c:delete val="0"/>
        <c:numFmt formatCode="General" sourceLinked="1"/>
        <c:majorTickMark val="out"/>
        <c:minorTickMark val="none"/>
        <c:tickLblPos val="nextTo"/>
        <c:crossAx val="32296030"/>
        <c:crosses val="autoZero"/>
        <c:crossBetween val="midCat"/>
        <c:dispUnits/>
      </c:valAx>
      <c:valAx>
        <c:axId val="32296030"/>
        <c:scaling>
          <c:orientation val="minMax"/>
          <c:max val="5000000"/>
        </c:scaling>
        <c:axPos val="l"/>
        <c:title>
          <c:tx>
            <c:rich>
              <a:bodyPr vert="horz" rot="-5400000" anchor="ctr"/>
              <a:lstStyle/>
              <a:p>
                <a:pPr algn="ctr">
                  <a:defRPr/>
                </a:pPr>
                <a:r>
                  <a:rPr lang="en-US" cap="none" sz="800" b="1" i="0" u="none" baseline="0">
                    <a:latin typeface="Arial"/>
                    <a:ea typeface="Arial"/>
                    <a:cs typeface="Arial"/>
                  </a:rPr>
                  <a:t>Průměrná zásoba xopt</a:t>
                </a:r>
              </a:p>
            </c:rich>
          </c:tx>
          <c:layout/>
          <c:overlay val="0"/>
          <c:spPr>
            <a:noFill/>
            <a:ln>
              <a:noFill/>
            </a:ln>
          </c:spPr>
        </c:title>
        <c:majorGridlines/>
        <c:delete val="0"/>
        <c:numFmt formatCode="General" sourceLinked="1"/>
        <c:majorTickMark val="out"/>
        <c:minorTickMark val="none"/>
        <c:tickLblPos val="nextTo"/>
        <c:crossAx val="2595806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35</xdr:row>
      <xdr:rowOff>47625</xdr:rowOff>
    </xdr:from>
    <xdr:to>
      <xdr:col>3</xdr:col>
      <xdr:colOff>819150</xdr:colOff>
      <xdr:row>50</xdr:row>
      <xdr:rowOff>47625</xdr:rowOff>
    </xdr:to>
    <xdr:graphicFrame>
      <xdr:nvGraphicFramePr>
        <xdr:cNvPr id="1" name="Chart 1"/>
        <xdr:cNvGraphicFramePr/>
      </xdr:nvGraphicFramePr>
      <xdr:xfrm>
        <a:off x="19050" y="6210300"/>
        <a:ext cx="3895725" cy="2428875"/>
      </xdr:xfrm>
      <a:graphic>
        <a:graphicData uri="http://schemas.openxmlformats.org/drawingml/2006/chart">
          <c:chart xmlns:c="http://schemas.openxmlformats.org/drawingml/2006/chart" r:id="rId1"/>
        </a:graphicData>
      </a:graphic>
    </xdr:graphicFrame>
    <xdr:clientData/>
  </xdr:twoCellAnchor>
  <xdr:twoCellAnchor>
    <xdr:from>
      <xdr:col>3</xdr:col>
      <xdr:colOff>895350</xdr:colOff>
      <xdr:row>35</xdr:row>
      <xdr:rowOff>47625</xdr:rowOff>
    </xdr:from>
    <xdr:to>
      <xdr:col>5</xdr:col>
      <xdr:colOff>1266825</xdr:colOff>
      <xdr:row>50</xdr:row>
      <xdr:rowOff>47625</xdr:rowOff>
    </xdr:to>
    <xdr:graphicFrame>
      <xdr:nvGraphicFramePr>
        <xdr:cNvPr id="2" name="Chart 2"/>
        <xdr:cNvGraphicFramePr/>
      </xdr:nvGraphicFramePr>
      <xdr:xfrm>
        <a:off x="3990975" y="6210300"/>
        <a:ext cx="3771900" cy="2428875"/>
      </xdr:xfrm>
      <a:graphic>
        <a:graphicData uri="http://schemas.openxmlformats.org/drawingml/2006/chart">
          <c:chart xmlns:c="http://schemas.openxmlformats.org/drawingml/2006/chart" r:id="rId2"/>
        </a:graphicData>
      </a:graphic>
    </xdr:graphicFrame>
    <xdr:clientData/>
  </xdr:twoCellAnchor>
  <xdr:twoCellAnchor>
    <xdr:from>
      <xdr:col>6</xdr:col>
      <xdr:colOff>57150</xdr:colOff>
      <xdr:row>35</xdr:row>
      <xdr:rowOff>66675</xdr:rowOff>
    </xdr:from>
    <xdr:to>
      <xdr:col>12</xdr:col>
      <xdr:colOff>285750</xdr:colOff>
      <xdr:row>50</xdr:row>
      <xdr:rowOff>28575</xdr:rowOff>
    </xdr:to>
    <xdr:graphicFrame>
      <xdr:nvGraphicFramePr>
        <xdr:cNvPr id="3" name="Chart 3"/>
        <xdr:cNvGraphicFramePr/>
      </xdr:nvGraphicFramePr>
      <xdr:xfrm>
        <a:off x="7867650" y="6229350"/>
        <a:ext cx="3886200" cy="2390775"/>
      </xdr:xfrm>
      <a:graphic>
        <a:graphicData uri="http://schemas.openxmlformats.org/drawingml/2006/chart">
          <c:chart xmlns:c="http://schemas.openxmlformats.org/drawingml/2006/chart" r:id="rId3"/>
        </a:graphicData>
      </a:graphic>
    </xdr:graphicFrame>
    <xdr:clientData/>
  </xdr:twoCellAnchor>
  <xdr:twoCellAnchor>
    <xdr:from>
      <xdr:col>3</xdr:col>
      <xdr:colOff>66675</xdr:colOff>
      <xdr:row>57</xdr:row>
      <xdr:rowOff>66675</xdr:rowOff>
    </xdr:from>
    <xdr:to>
      <xdr:col>11</xdr:col>
      <xdr:colOff>257175</xdr:colOff>
      <xdr:row>82</xdr:row>
      <xdr:rowOff>28575</xdr:rowOff>
    </xdr:to>
    <xdr:graphicFrame>
      <xdr:nvGraphicFramePr>
        <xdr:cNvPr id="4" name="Chart 5"/>
        <xdr:cNvGraphicFramePr/>
      </xdr:nvGraphicFramePr>
      <xdr:xfrm>
        <a:off x="3162300" y="9791700"/>
        <a:ext cx="7953375" cy="40100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24</xdr:row>
      <xdr:rowOff>142875</xdr:rowOff>
    </xdr:from>
    <xdr:to>
      <xdr:col>16</xdr:col>
      <xdr:colOff>542925</xdr:colOff>
      <xdr:row>51</xdr:row>
      <xdr:rowOff>66675</xdr:rowOff>
    </xdr:to>
    <xdr:graphicFrame>
      <xdr:nvGraphicFramePr>
        <xdr:cNvPr id="1" name="Chart 1"/>
        <xdr:cNvGraphicFramePr/>
      </xdr:nvGraphicFramePr>
      <xdr:xfrm>
        <a:off x="8572500" y="4219575"/>
        <a:ext cx="6191250" cy="4295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41</xdr:row>
      <xdr:rowOff>9525</xdr:rowOff>
    </xdr:from>
    <xdr:to>
      <xdr:col>15</xdr:col>
      <xdr:colOff>76200</xdr:colOff>
      <xdr:row>63</xdr:row>
      <xdr:rowOff>0</xdr:rowOff>
    </xdr:to>
    <xdr:graphicFrame>
      <xdr:nvGraphicFramePr>
        <xdr:cNvPr id="1" name="Chart 3"/>
        <xdr:cNvGraphicFramePr/>
      </xdr:nvGraphicFramePr>
      <xdr:xfrm>
        <a:off x="7896225" y="6877050"/>
        <a:ext cx="5857875" cy="3552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27</xdr:row>
      <xdr:rowOff>19050</xdr:rowOff>
    </xdr:from>
    <xdr:to>
      <xdr:col>10</xdr:col>
      <xdr:colOff>552450</xdr:colOff>
      <xdr:row>27</xdr:row>
      <xdr:rowOff>152400</xdr:rowOff>
    </xdr:to>
    <xdr:sp>
      <xdr:nvSpPr>
        <xdr:cNvPr id="1" name="AutoShape 1"/>
        <xdr:cNvSpPr>
          <a:spLocks/>
        </xdr:cNvSpPr>
      </xdr:nvSpPr>
      <xdr:spPr>
        <a:xfrm>
          <a:off x="9563100" y="4695825"/>
          <a:ext cx="523875" cy="13335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42</xdr:row>
      <xdr:rowOff>9525</xdr:rowOff>
    </xdr:from>
    <xdr:to>
      <xdr:col>9</xdr:col>
      <xdr:colOff>542925</xdr:colOff>
      <xdr:row>42</xdr:row>
      <xdr:rowOff>142875</xdr:rowOff>
    </xdr:to>
    <xdr:sp>
      <xdr:nvSpPr>
        <xdr:cNvPr id="1" name="AutoShape 1"/>
        <xdr:cNvSpPr>
          <a:spLocks/>
        </xdr:cNvSpPr>
      </xdr:nvSpPr>
      <xdr:spPr>
        <a:xfrm>
          <a:off x="8267700" y="7077075"/>
          <a:ext cx="523875" cy="13335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41</xdr:row>
      <xdr:rowOff>19050</xdr:rowOff>
    </xdr:from>
    <xdr:to>
      <xdr:col>7</xdr:col>
      <xdr:colOff>561975</xdr:colOff>
      <xdr:row>41</xdr:row>
      <xdr:rowOff>152400</xdr:rowOff>
    </xdr:to>
    <xdr:sp>
      <xdr:nvSpPr>
        <xdr:cNvPr id="1" name="AutoShape 1"/>
        <xdr:cNvSpPr>
          <a:spLocks/>
        </xdr:cNvSpPr>
      </xdr:nvSpPr>
      <xdr:spPr>
        <a:xfrm>
          <a:off x="7172325" y="6924675"/>
          <a:ext cx="523875" cy="13335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32</xdr:row>
      <xdr:rowOff>19050</xdr:rowOff>
    </xdr:from>
    <xdr:to>
      <xdr:col>10</xdr:col>
      <xdr:colOff>581025</xdr:colOff>
      <xdr:row>32</xdr:row>
      <xdr:rowOff>152400</xdr:rowOff>
    </xdr:to>
    <xdr:sp>
      <xdr:nvSpPr>
        <xdr:cNvPr id="1" name="AutoShape 6"/>
        <xdr:cNvSpPr>
          <a:spLocks/>
        </xdr:cNvSpPr>
      </xdr:nvSpPr>
      <xdr:spPr>
        <a:xfrm>
          <a:off x="9534525" y="5524500"/>
          <a:ext cx="523875" cy="13335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447675</xdr:colOff>
      <xdr:row>23</xdr:row>
      <xdr:rowOff>133350</xdr:rowOff>
    </xdr:from>
    <xdr:to>
      <xdr:col>18</xdr:col>
      <xdr:colOff>200025</xdr:colOff>
      <xdr:row>39</xdr:row>
      <xdr:rowOff>19050</xdr:rowOff>
    </xdr:to>
    <xdr:graphicFrame>
      <xdr:nvGraphicFramePr>
        <xdr:cNvPr id="1" name="Chart 1"/>
        <xdr:cNvGraphicFramePr/>
      </xdr:nvGraphicFramePr>
      <xdr:xfrm>
        <a:off x="8334375" y="3933825"/>
        <a:ext cx="46291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18"/>
  <sheetViews>
    <sheetView tabSelected="1" workbookViewId="0" topLeftCell="A1">
      <selection activeCell="A1" sqref="A1"/>
    </sheetView>
  </sheetViews>
  <sheetFormatPr defaultColWidth="9.140625" defaultRowHeight="12.75"/>
  <cols>
    <col min="1" max="1" width="9.140625" style="11" customWidth="1"/>
    <col min="2" max="2" width="10.7109375" style="11" customWidth="1"/>
    <col min="3" max="3" width="26.57421875" style="11" customWidth="1"/>
    <col min="4" max="4" width="41.8515625" style="11" customWidth="1"/>
    <col min="5" max="5" width="9.140625" style="11" customWidth="1"/>
    <col min="6" max="6" width="19.7109375" style="11" customWidth="1"/>
    <col min="7" max="16384" width="9.140625" style="11" customWidth="1"/>
  </cols>
  <sheetData>
    <row r="1" spans="1:6" ht="12.75">
      <c r="A1" s="1" t="s">
        <v>133</v>
      </c>
      <c r="B1" s="64" t="s">
        <v>152</v>
      </c>
      <c r="C1" s="64"/>
      <c r="D1" s="64"/>
      <c r="E1" s="64"/>
      <c r="F1" s="64"/>
    </row>
    <row r="2" spans="2:6" ht="12.75">
      <c r="B2" s="64"/>
      <c r="C2" s="64"/>
      <c r="D2" s="64"/>
      <c r="E2" s="64"/>
      <c r="F2" s="64"/>
    </row>
    <row r="3" spans="2:6" ht="12.75">
      <c r="B3" s="64"/>
      <c r="C3" s="64"/>
      <c r="D3" s="64"/>
      <c r="E3" s="64"/>
      <c r="F3" s="64"/>
    </row>
    <row r="4" spans="2:6" ht="12.75">
      <c r="B4" s="19"/>
      <c r="C4" s="19"/>
      <c r="D4" s="19"/>
      <c r="E4" s="19"/>
      <c r="F4" s="19"/>
    </row>
    <row r="5" spans="1:2" ht="12.75">
      <c r="A5" s="1" t="s">
        <v>0</v>
      </c>
      <c r="B5" s="10" t="s">
        <v>10</v>
      </c>
    </row>
    <row r="6" spans="1:4" ht="12.75">
      <c r="A6" s="12" t="s">
        <v>1</v>
      </c>
      <c r="B6" s="13">
        <v>10000</v>
      </c>
      <c r="C6" s="12" t="s">
        <v>5</v>
      </c>
      <c r="D6" s="14" t="s">
        <v>14</v>
      </c>
    </row>
    <row r="7" spans="1:4" ht="15.75">
      <c r="A7" s="12" t="s">
        <v>2</v>
      </c>
      <c r="B7" s="13">
        <v>8500</v>
      </c>
      <c r="C7" s="12" t="s">
        <v>6</v>
      </c>
      <c r="D7" s="14" t="s">
        <v>15</v>
      </c>
    </row>
    <row r="8" spans="1:4" ht="15.75">
      <c r="A8" s="12" t="s">
        <v>3</v>
      </c>
      <c r="B8" s="13">
        <v>0.15</v>
      </c>
      <c r="C8" s="12" t="s">
        <v>12</v>
      </c>
      <c r="D8" s="14" t="s">
        <v>16</v>
      </c>
    </row>
    <row r="9" spans="1:4" ht="12.75">
      <c r="A9" s="12" t="s">
        <v>4</v>
      </c>
      <c r="B9" s="13">
        <v>9000</v>
      </c>
      <c r="C9" s="12" t="s">
        <v>7</v>
      </c>
      <c r="D9" s="14" t="s">
        <v>17</v>
      </c>
    </row>
    <row r="10" spans="1:4" ht="15.75">
      <c r="A10" s="12" t="s">
        <v>8</v>
      </c>
      <c r="B10" s="13">
        <v>12</v>
      </c>
      <c r="C10" s="12" t="s">
        <v>9</v>
      </c>
      <c r="D10" s="14" t="s">
        <v>18</v>
      </c>
    </row>
    <row r="11" ht="12.75">
      <c r="D11" s="15"/>
    </row>
    <row r="12" spans="1:4" ht="15.75">
      <c r="A12" s="1" t="s">
        <v>11</v>
      </c>
      <c r="B12" s="10" t="s">
        <v>22</v>
      </c>
      <c r="D12" s="15"/>
    </row>
    <row r="13" spans="1:4" ht="15.75">
      <c r="A13" s="12" t="s">
        <v>3</v>
      </c>
      <c r="B13" s="13">
        <f>IF(C10="měsíc",B8/12,B8)</f>
        <v>0.012499999999999999</v>
      </c>
      <c r="C13" s="12" t="s">
        <v>134</v>
      </c>
      <c r="D13" s="15"/>
    </row>
    <row r="14" ht="12.75">
      <c r="D14" s="15"/>
    </row>
    <row r="15" spans="1:4" ht="15.75">
      <c r="A15" s="1" t="s">
        <v>13</v>
      </c>
      <c r="B15" s="10" t="s">
        <v>23</v>
      </c>
      <c r="D15" s="15"/>
    </row>
    <row r="16" spans="1:4" ht="15.75">
      <c r="A16" s="12" t="s">
        <v>19</v>
      </c>
      <c r="B16" s="13">
        <f>ROUND(SQRT((2*B6*B7)/(B10*B9*B13)),0)</f>
        <v>355</v>
      </c>
      <c r="C16" s="12" t="s">
        <v>5</v>
      </c>
      <c r="D16" s="14" t="s">
        <v>28</v>
      </c>
    </row>
    <row r="17" spans="1:4" ht="15.75">
      <c r="A17" s="12" t="s">
        <v>20</v>
      </c>
      <c r="B17" s="13">
        <f>ROUND(B16/2*B10*B9*B13+B6/B16*B7,0)</f>
        <v>479062</v>
      </c>
      <c r="C17" s="12" t="s">
        <v>25</v>
      </c>
      <c r="D17" s="14" t="s">
        <v>36</v>
      </c>
    </row>
    <row r="18" spans="1:4" ht="15.75">
      <c r="A18" s="12" t="s">
        <v>24</v>
      </c>
      <c r="B18" s="13">
        <f>ROUND(B6/B16,0)</f>
        <v>28</v>
      </c>
      <c r="C18" s="12" t="s">
        <v>26</v>
      </c>
      <c r="D18" s="14" t="s">
        <v>29</v>
      </c>
    </row>
    <row r="19" spans="1:4" ht="15.75">
      <c r="A19" s="12" t="s">
        <v>21</v>
      </c>
      <c r="B19" s="13">
        <f>ROUND((B10/B18)*30,0)</f>
        <v>13</v>
      </c>
      <c r="C19" s="12" t="s">
        <v>27</v>
      </c>
      <c r="D19" s="14" t="s">
        <v>30</v>
      </c>
    </row>
    <row r="20" spans="1:4" ht="15.75">
      <c r="A20" s="12" t="s">
        <v>32</v>
      </c>
      <c r="B20" s="13">
        <f>ROUND((B16/2)*B10*B9*B13,0)</f>
        <v>239625</v>
      </c>
      <c r="C20" s="12" t="s">
        <v>25</v>
      </c>
      <c r="D20" s="14" t="s">
        <v>34</v>
      </c>
    </row>
    <row r="21" spans="1:4" ht="15.75">
      <c r="A21" s="12" t="s">
        <v>33</v>
      </c>
      <c r="B21" s="13">
        <f>ROUND((B6/B16)*B7,0)</f>
        <v>239437</v>
      </c>
      <c r="C21" s="12" t="s">
        <v>25</v>
      </c>
      <c r="D21" s="14" t="s">
        <v>35</v>
      </c>
    </row>
    <row r="22" ht="12.75"/>
    <row r="23" spans="1:2" ht="12.75">
      <c r="A23" s="1" t="s">
        <v>37</v>
      </c>
      <c r="B23" s="10" t="s">
        <v>38</v>
      </c>
    </row>
    <row r="24" spans="1:4" ht="15.75">
      <c r="A24" s="13" t="s">
        <v>135</v>
      </c>
      <c r="B24" s="13" t="s">
        <v>136</v>
      </c>
      <c r="C24" s="13" t="s">
        <v>138</v>
      </c>
      <c r="D24" s="13" t="s">
        <v>137</v>
      </c>
    </row>
    <row r="25" spans="1:4" ht="12.75">
      <c r="A25" s="13">
        <v>10</v>
      </c>
      <c r="B25" s="13">
        <f>(A25/2)*$B$10*$B$9*$B$13</f>
        <v>6749.999999999999</v>
      </c>
      <c r="C25" s="20">
        <f>($B$6/A25)*$B$7</f>
        <v>8500000</v>
      </c>
      <c r="D25" s="20">
        <f>B25+C25</f>
        <v>8506750</v>
      </c>
    </row>
    <row r="26" spans="1:4" ht="12.75">
      <c r="A26" s="13">
        <v>50</v>
      </c>
      <c r="B26" s="13">
        <f aca="true" t="shared" si="0" ref="B26:B35">(A26/2)*$B$10*$B$9*$B$13</f>
        <v>33750</v>
      </c>
      <c r="C26" s="20">
        <f aca="true" t="shared" si="1" ref="C26:C35">($B$6/A26)*$B$7</f>
        <v>1700000</v>
      </c>
      <c r="D26" s="20">
        <f aca="true" t="shared" si="2" ref="D26:D35">B26+C26</f>
        <v>1733750</v>
      </c>
    </row>
    <row r="27" spans="1:4" ht="12.75">
      <c r="A27" s="13">
        <v>100</v>
      </c>
      <c r="B27" s="13">
        <f t="shared" si="0"/>
        <v>67500</v>
      </c>
      <c r="C27" s="20">
        <f t="shared" si="1"/>
        <v>850000</v>
      </c>
      <c r="D27" s="20">
        <f t="shared" si="2"/>
        <v>917500</v>
      </c>
    </row>
    <row r="28" spans="1:4" ht="12.75">
      <c r="A28" s="13">
        <v>150</v>
      </c>
      <c r="B28" s="13">
        <f t="shared" si="0"/>
        <v>101249.99999999999</v>
      </c>
      <c r="C28" s="20">
        <f t="shared" si="1"/>
        <v>566666.6666666667</v>
      </c>
      <c r="D28" s="20">
        <f t="shared" si="2"/>
        <v>667916.6666666667</v>
      </c>
    </row>
    <row r="29" spans="1:4" ht="12.75">
      <c r="A29" s="13">
        <v>200</v>
      </c>
      <c r="B29" s="13">
        <f t="shared" si="0"/>
        <v>135000</v>
      </c>
      <c r="C29" s="20">
        <f t="shared" si="1"/>
        <v>425000</v>
      </c>
      <c r="D29" s="20">
        <f t="shared" si="2"/>
        <v>560000</v>
      </c>
    </row>
    <row r="30" spans="1:4" ht="12.75">
      <c r="A30" s="13">
        <v>250</v>
      </c>
      <c r="B30" s="13">
        <f t="shared" si="0"/>
        <v>168750</v>
      </c>
      <c r="C30" s="20">
        <f t="shared" si="1"/>
        <v>340000</v>
      </c>
      <c r="D30" s="20">
        <f t="shared" si="2"/>
        <v>508750</v>
      </c>
    </row>
    <row r="31" spans="1:4" ht="12.75">
      <c r="A31" s="13">
        <v>300</v>
      </c>
      <c r="B31" s="13">
        <f t="shared" si="0"/>
        <v>202499.99999999997</v>
      </c>
      <c r="C31" s="20">
        <f t="shared" si="1"/>
        <v>283333.3333333334</v>
      </c>
      <c r="D31" s="20">
        <f t="shared" si="2"/>
        <v>485833.3333333334</v>
      </c>
    </row>
    <row r="32" spans="1:4" ht="12.75">
      <c r="A32" s="13">
        <v>350</v>
      </c>
      <c r="B32" s="13">
        <f t="shared" si="0"/>
        <v>236249.99999999997</v>
      </c>
      <c r="C32" s="20">
        <f t="shared" si="1"/>
        <v>242857.14285714287</v>
      </c>
      <c r="D32" s="20">
        <f t="shared" si="2"/>
        <v>479107.14285714284</v>
      </c>
    </row>
    <row r="33" spans="1:4" ht="12.75">
      <c r="A33" s="13">
        <v>400</v>
      </c>
      <c r="B33" s="13">
        <f t="shared" si="0"/>
        <v>270000</v>
      </c>
      <c r="C33" s="20">
        <f t="shared" si="1"/>
        <v>212500</v>
      </c>
      <c r="D33" s="20">
        <f t="shared" si="2"/>
        <v>482500</v>
      </c>
    </row>
    <row r="34" spans="1:4" ht="12.75">
      <c r="A34" s="13">
        <v>450</v>
      </c>
      <c r="B34" s="13">
        <f t="shared" si="0"/>
        <v>303750</v>
      </c>
      <c r="C34" s="20">
        <f t="shared" si="1"/>
        <v>188888.88888888888</v>
      </c>
      <c r="D34" s="20">
        <f t="shared" si="2"/>
        <v>492638.8888888889</v>
      </c>
    </row>
    <row r="35" spans="1:4" ht="12.75">
      <c r="A35" s="13">
        <v>500</v>
      </c>
      <c r="B35" s="13">
        <f t="shared" si="0"/>
        <v>337500</v>
      </c>
      <c r="C35" s="20">
        <f t="shared" si="1"/>
        <v>170000</v>
      </c>
      <c r="D35" s="20">
        <f t="shared" si="2"/>
        <v>507500</v>
      </c>
    </row>
    <row r="52" spans="1:2" ht="12.75">
      <c r="A52" s="1" t="s">
        <v>45</v>
      </c>
      <c r="B52" s="10" t="s">
        <v>47</v>
      </c>
    </row>
    <row r="53" spans="1:6" ht="12.75">
      <c r="A53" s="13" t="s">
        <v>40</v>
      </c>
      <c r="B53" s="13" t="s">
        <v>139</v>
      </c>
      <c r="C53" s="13" t="s">
        <v>140</v>
      </c>
      <c r="D53" s="16" t="s">
        <v>42</v>
      </c>
      <c r="E53" s="13">
        <f>ROUND(B6/365,1)</f>
        <v>27.4</v>
      </c>
      <c r="F53" s="17" t="s">
        <v>5</v>
      </c>
    </row>
    <row r="54" spans="1:6" ht="12.75">
      <c r="A54" s="13">
        <v>1</v>
      </c>
      <c r="B54" s="20">
        <f>B16-E53</f>
        <v>327.6</v>
      </c>
      <c r="C54" s="13">
        <f aca="true" t="shared" si="3" ref="C54:C92">$E$57</f>
        <v>220.00000000000003</v>
      </c>
      <c r="D54" s="16" t="s">
        <v>41</v>
      </c>
      <c r="E54" s="13">
        <v>21</v>
      </c>
      <c r="F54" s="17" t="s">
        <v>27</v>
      </c>
    </row>
    <row r="55" spans="1:6" ht="12.75">
      <c r="A55" s="13">
        <v>2</v>
      </c>
      <c r="B55" s="20">
        <f aca="true" t="shared" si="4" ref="B55:B92">IF(B54-$E$53&lt;=0,B54-$E$53+$B$16,B54-$E$53)</f>
        <v>300.20000000000005</v>
      </c>
      <c r="C55" s="13">
        <f t="shared" si="3"/>
        <v>220.00000000000003</v>
      </c>
      <c r="D55" s="16" t="s">
        <v>44</v>
      </c>
      <c r="E55" s="13">
        <f>ROUND(E54*E53,0)</f>
        <v>575</v>
      </c>
      <c r="F55" s="17" t="s">
        <v>5</v>
      </c>
    </row>
    <row r="56" spans="1:6" ht="12.75">
      <c r="A56" s="13">
        <v>3</v>
      </c>
      <c r="B56" s="20">
        <f t="shared" si="4"/>
        <v>272.80000000000007</v>
      </c>
      <c r="C56" s="13">
        <f t="shared" si="3"/>
        <v>220.00000000000003</v>
      </c>
      <c r="D56" s="16" t="s">
        <v>46</v>
      </c>
      <c r="E56" s="13">
        <f>IF(E54&lt;=B19,0,TRUNC(E55/B16))</f>
        <v>1</v>
      </c>
      <c r="F56" s="17" t="s">
        <v>141</v>
      </c>
    </row>
    <row r="57" spans="1:6" ht="12.75">
      <c r="A57" s="13">
        <v>4</v>
      </c>
      <c r="B57" s="20">
        <f t="shared" si="4"/>
        <v>245.40000000000006</v>
      </c>
      <c r="C57" s="13">
        <f t="shared" si="3"/>
        <v>220.00000000000003</v>
      </c>
      <c r="D57" s="16" t="s">
        <v>43</v>
      </c>
      <c r="E57" s="13">
        <f>IF(E54&lt;=B19,E54*E53,(E55/B16-E56)*B16)</f>
        <v>220.00000000000003</v>
      </c>
      <c r="F57" s="17" t="s">
        <v>5</v>
      </c>
    </row>
    <row r="58" spans="1:3" ht="12.75">
      <c r="A58" s="13">
        <v>5</v>
      </c>
      <c r="B58" s="20">
        <f t="shared" si="4"/>
        <v>218.00000000000006</v>
      </c>
      <c r="C58" s="13">
        <f t="shared" si="3"/>
        <v>220.00000000000003</v>
      </c>
    </row>
    <row r="59" spans="1:3" ht="12.75">
      <c r="A59" s="13">
        <v>6</v>
      </c>
      <c r="B59" s="20">
        <f t="shared" si="4"/>
        <v>190.60000000000005</v>
      </c>
      <c r="C59" s="13">
        <f t="shared" si="3"/>
        <v>220.00000000000003</v>
      </c>
    </row>
    <row r="60" spans="1:3" ht="12.75">
      <c r="A60" s="13">
        <v>7</v>
      </c>
      <c r="B60" s="20">
        <f t="shared" si="4"/>
        <v>163.20000000000005</v>
      </c>
      <c r="C60" s="13">
        <f t="shared" si="3"/>
        <v>220.00000000000003</v>
      </c>
    </row>
    <row r="61" spans="1:3" ht="12.75">
      <c r="A61" s="13">
        <v>8</v>
      </c>
      <c r="B61" s="20">
        <f t="shared" si="4"/>
        <v>135.80000000000004</v>
      </c>
      <c r="C61" s="13">
        <f t="shared" si="3"/>
        <v>220.00000000000003</v>
      </c>
    </row>
    <row r="62" spans="1:3" ht="12.75">
      <c r="A62" s="13">
        <v>9</v>
      </c>
      <c r="B62" s="20">
        <f t="shared" si="4"/>
        <v>108.40000000000003</v>
      </c>
      <c r="C62" s="13">
        <f t="shared" si="3"/>
        <v>220.00000000000003</v>
      </c>
    </row>
    <row r="63" spans="1:3" ht="12.75">
      <c r="A63" s="13">
        <v>10</v>
      </c>
      <c r="B63" s="20">
        <f t="shared" si="4"/>
        <v>81.00000000000003</v>
      </c>
      <c r="C63" s="13">
        <f t="shared" si="3"/>
        <v>220.00000000000003</v>
      </c>
    </row>
    <row r="64" spans="1:3" ht="12.75">
      <c r="A64" s="13">
        <v>11</v>
      </c>
      <c r="B64" s="20">
        <f t="shared" si="4"/>
        <v>53.60000000000003</v>
      </c>
      <c r="C64" s="13">
        <f t="shared" si="3"/>
        <v>220.00000000000003</v>
      </c>
    </row>
    <row r="65" spans="1:3" ht="12.75">
      <c r="A65" s="13">
        <v>12</v>
      </c>
      <c r="B65" s="20">
        <f t="shared" si="4"/>
        <v>26.20000000000003</v>
      </c>
      <c r="C65" s="13">
        <f t="shared" si="3"/>
        <v>220.00000000000003</v>
      </c>
    </row>
    <row r="66" spans="1:3" ht="12.75">
      <c r="A66" s="13">
        <v>13</v>
      </c>
      <c r="B66" s="20">
        <f t="shared" si="4"/>
        <v>353.8</v>
      </c>
      <c r="C66" s="13">
        <f t="shared" si="3"/>
        <v>220.00000000000003</v>
      </c>
    </row>
    <row r="67" spans="1:3" ht="12.75">
      <c r="A67" s="13">
        <v>14</v>
      </c>
      <c r="B67" s="20">
        <f t="shared" si="4"/>
        <v>326.40000000000003</v>
      </c>
      <c r="C67" s="13">
        <f t="shared" si="3"/>
        <v>220.00000000000003</v>
      </c>
    </row>
    <row r="68" spans="1:3" ht="12.75">
      <c r="A68" s="13">
        <v>15</v>
      </c>
      <c r="B68" s="20">
        <f t="shared" si="4"/>
        <v>299.00000000000006</v>
      </c>
      <c r="C68" s="13">
        <f t="shared" si="3"/>
        <v>220.00000000000003</v>
      </c>
    </row>
    <row r="69" spans="1:3" ht="12.75">
      <c r="A69" s="13">
        <v>16</v>
      </c>
      <c r="B69" s="20">
        <f t="shared" si="4"/>
        <v>271.6000000000001</v>
      </c>
      <c r="C69" s="13">
        <f t="shared" si="3"/>
        <v>220.00000000000003</v>
      </c>
    </row>
    <row r="70" spans="1:3" ht="12.75">
      <c r="A70" s="13">
        <v>17</v>
      </c>
      <c r="B70" s="20">
        <f t="shared" si="4"/>
        <v>244.20000000000007</v>
      </c>
      <c r="C70" s="13">
        <f t="shared" si="3"/>
        <v>220.00000000000003</v>
      </c>
    </row>
    <row r="71" spans="1:3" ht="12.75">
      <c r="A71" s="13">
        <v>18</v>
      </c>
      <c r="B71" s="20">
        <f t="shared" si="4"/>
        <v>216.80000000000007</v>
      </c>
      <c r="C71" s="13">
        <f t="shared" si="3"/>
        <v>220.00000000000003</v>
      </c>
    </row>
    <row r="72" spans="1:3" ht="12.75">
      <c r="A72" s="13">
        <v>19</v>
      </c>
      <c r="B72" s="20">
        <f t="shared" si="4"/>
        <v>189.40000000000006</v>
      </c>
      <c r="C72" s="13">
        <f t="shared" si="3"/>
        <v>220.00000000000003</v>
      </c>
    </row>
    <row r="73" spans="1:3" ht="12.75">
      <c r="A73" s="13">
        <v>20</v>
      </c>
      <c r="B73" s="20">
        <f t="shared" si="4"/>
        <v>162.00000000000006</v>
      </c>
      <c r="C73" s="13">
        <f t="shared" si="3"/>
        <v>220.00000000000003</v>
      </c>
    </row>
    <row r="74" spans="1:3" ht="12.75">
      <c r="A74" s="13">
        <v>21</v>
      </c>
      <c r="B74" s="20">
        <f t="shared" si="4"/>
        <v>134.60000000000005</v>
      </c>
      <c r="C74" s="13">
        <f t="shared" si="3"/>
        <v>220.00000000000003</v>
      </c>
    </row>
    <row r="75" spans="1:3" ht="12.75">
      <c r="A75" s="13">
        <v>22</v>
      </c>
      <c r="B75" s="20">
        <f t="shared" si="4"/>
        <v>107.20000000000005</v>
      </c>
      <c r="C75" s="13">
        <f t="shared" si="3"/>
        <v>220.00000000000003</v>
      </c>
    </row>
    <row r="76" spans="1:3" ht="12.75">
      <c r="A76" s="13">
        <v>23</v>
      </c>
      <c r="B76" s="20">
        <f t="shared" si="4"/>
        <v>79.80000000000004</v>
      </c>
      <c r="C76" s="13">
        <f t="shared" si="3"/>
        <v>220.00000000000003</v>
      </c>
    </row>
    <row r="77" spans="1:3" ht="12.75">
      <c r="A77" s="13">
        <v>24</v>
      </c>
      <c r="B77" s="20">
        <f t="shared" si="4"/>
        <v>52.40000000000004</v>
      </c>
      <c r="C77" s="13">
        <f t="shared" si="3"/>
        <v>220.00000000000003</v>
      </c>
    </row>
    <row r="78" spans="1:3" ht="12.75">
      <c r="A78" s="13">
        <v>25</v>
      </c>
      <c r="B78" s="20">
        <f t="shared" si="4"/>
        <v>25.000000000000043</v>
      </c>
      <c r="C78" s="13">
        <f t="shared" si="3"/>
        <v>220.00000000000003</v>
      </c>
    </row>
    <row r="79" spans="1:3" ht="12.75">
      <c r="A79" s="13">
        <v>26</v>
      </c>
      <c r="B79" s="20">
        <f t="shared" si="4"/>
        <v>352.6</v>
      </c>
      <c r="C79" s="13">
        <f t="shared" si="3"/>
        <v>220.00000000000003</v>
      </c>
    </row>
    <row r="80" spans="1:3" ht="12.75">
      <c r="A80" s="13">
        <v>27</v>
      </c>
      <c r="B80" s="20">
        <f t="shared" si="4"/>
        <v>325.20000000000005</v>
      </c>
      <c r="C80" s="13">
        <f t="shared" si="3"/>
        <v>220.00000000000003</v>
      </c>
    </row>
    <row r="81" spans="1:3" ht="12.75">
      <c r="A81" s="13">
        <v>28</v>
      </c>
      <c r="B81" s="20">
        <f t="shared" si="4"/>
        <v>297.80000000000007</v>
      </c>
      <c r="C81" s="13">
        <f t="shared" si="3"/>
        <v>220.00000000000003</v>
      </c>
    </row>
    <row r="82" spans="1:3" ht="12.75">
      <c r="A82" s="13">
        <v>29</v>
      </c>
      <c r="B82" s="20">
        <f t="shared" si="4"/>
        <v>270.4000000000001</v>
      </c>
      <c r="C82" s="13">
        <f t="shared" si="3"/>
        <v>220.00000000000003</v>
      </c>
    </row>
    <row r="83" spans="1:3" ht="12.75">
      <c r="A83" s="13">
        <v>30</v>
      </c>
      <c r="B83" s="20">
        <f t="shared" si="4"/>
        <v>243.00000000000009</v>
      </c>
      <c r="C83" s="13">
        <f t="shared" si="3"/>
        <v>220.00000000000003</v>
      </c>
    </row>
    <row r="84" spans="1:3" ht="12.75">
      <c r="A84" s="13">
        <v>31</v>
      </c>
      <c r="B84" s="20">
        <f t="shared" si="4"/>
        <v>215.60000000000008</v>
      </c>
      <c r="C84" s="13">
        <f t="shared" si="3"/>
        <v>220.00000000000003</v>
      </c>
    </row>
    <row r="85" spans="1:3" ht="12.75">
      <c r="A85" s="13">
        <v>32</v>
      </c>
      <c r="B85" s="20">
        <f t="shared" si="4"/>
        <v>188.20000000000007</v>
      </c>
      <c r="C85" s="13">
        <f t="shared" si="3"/>
        <v>220.00000000000003</v>
      </c>
    </row>
    <row r="86" spans="1:3" ht="12.75">
      <c r="A86" s="13">
        <v>33</v>
      </c>
      <c r="B86" s="20">
        <f t="shared" si="4"/>
        <v>160.80000000000007</v>
      </c>
      <c r="C86" s="13">
        <f t="shared" si="3"/>
        <v>220.00000000000003</v>
      </c>
    </row>
    <row r="87" spans="1:3" ht="12.75">
      <c r="A87" s="13">
        <v>34</v>
      </c>
      <c r="B87" s="20">
        <f t="shared" si="4"/>
        <v>133.40000000000006</v>
      </c>
      <c r="C87" s="13">
        <f t="shared" si="3"/>
        <v>220.00000000000003</v>
      </c>
    </row>
    <row r="88" spans="1:3" ht="12.75">
      <c r="A88" s="13">
        <v>35</v>
      </c>
      <c r="B88" s="20">
        <f t="shared" si="4"/>
        <v>106.00000000000006</v>
      </c>
      <c r="C88" s="13">
        <f t="shared" si="3"/>
        <v>220.00000000000003</v>
      </c>
    </row>
    <row r="89" spans="1:3" ht="12.75">
      <c r="A89" s="13">
        <v>36</v>
      </c>
      <c r="B89" s="20">
        <f t="shared" si="4"/>
        <v>78.60000000000005</v>
      </c>
      <c r="C89" s="13">
        <f t="shared" si="3"/>
        <v>220.00000000000003</v>
      </c>
    </row>
    <row r="90" spans="1:3" ht="12.75">
      <c r="A90" s="13">
        <v>37</v>
      </c>
      <c r="B90" s="20">
        <f t="shared" si="4"/>
        <v>51.20000000000005</v>
      </c>
      <c r="C90" s="13">
        <f t="shared" si="3"/>
        <v>220.00000000000003</v>
      </c>
    </row>
    <row r="91" spans="1:3" ht="12.75">
      <c r="A91" s="13">
        <v>38</v>
      </c>
      <c r="B91" s="20">
        <f t="shared" si="4"/>
        <v>23.800000000000054</v>
      </c>
      <c r="C91" s="13">
        <f t="shared" si="3"/>
        <v>220.00000000000003</v>
      </c>
    </row>
    <row r="92" spans="1:3" ht="12.75">
      <c r="A92" s="13">
        <v>39</v>
      </c>
      <c r="B92" s="20">
        <f t="shared" si="4"/>
        <v>351.40000000000003</v>
      </c>
      <c r="C92" s="13">
        <f t="shared" si="3"/>
        <v>220.00000000000003</v>
      </c>
    </row>
    <row r="93" spans="1:3" ht="12.75">
      <c r="A93" s="18"/>
      <c r="B93" s="18"/>
      <c r="C93" s="18"/>
    </row>
    <row r="94" spans="1:3" ht="12.75">
      <c r="A94" s="18"/>
      <c r="B94" s="18"/>
      <c r="C94" s="18"/>
    </row>
    <row r="95" spans="1:3" ht="12.75">
      <c r="A95" s="18"/>
      <c r="B95" s="18"/>
      <c r="C95" s="18"/>
    </row>
    <row r="96" spans="1:3" ht="12.75">
      <c r="A96" s="18"/>
      <c r="B96" s="18"/>
      <c r="C96" s="18"/>
    </row>
    <row r="97" spans="1:3" ht="12.75">
      <c r="A97" s="18"/>
      <c r="B97" s="18"/>
      <c r="C97" s="18"/>
    </row>
    <row r="98" spans="1:3" ht="12.75">
      <c r="A98" s="18"/>
      <c r="B98" s="18"/>
      <c r="C98" s="18"/>
    </row>
    <row r="99" spans="1:3" ht="12.75">
      <c r="A99" s="18"/>
      <c r="B99" s="18"/>
      <c r="C99" s="18"/>
    </row>
    <row r="100" spans="1:3" ht="12.75">
      <c r="A100" s="18"/>
      <c r="B100" s="18"/>
      <c r="C100" s="18"/>
    </row>
    <row r="101" spans="1:3" ht="12.75">
      <c r="A101" s="18"/>
      <c r="B101" s="18"/>
      <c r="C101" s="18"/>
    </row>
    <row r="102" spans="1:3" ht="12.75">
      <c r="A102" s="18"/>
      <c r="B102" s="18"/>
      <c r="C102" s="18"/>
    </row>
    <row r="103" spans="1:3" ht="12.75">
      <c r="A103" s="18"/>
      <c r="B103" s="18"/>
      <c r="C103" s="18"/>
    </row>
    <row r="104" spans="1:3" ht="12.75">
      <c r="A104" s="18"/>
      <c r="B104" s="18"/>
      <c r="C104" s="18"/>
    </row>
    <row r="105" spans="1:3" ht="12.75">
      <c r="A105" s="18"/>
      <c r="B105" s="18"/>
      <c r="C105" s="18"/>
    </row>
    <row r="106" spans="1:3" ht="12.75">
      <c r="A106" s="18"/>
      <c r="B106" s="18"/>
      <c r="C106" s="18"/>
    </row>
    <row r="107" spans="1:3" ht="12.75">
      <c r="A107" s="18"/>
      <c r="B107" s="18"/>
      <c r="C107" s="18"/>
    </row>
    <row r="108" spans="1:3" ht="12.75">
      <c r="A108" s="18"/>
      <c r="B108" s="18"/>
      <c r="C108" s="18"/>
    </row>
    <row r="109" spans="1:3" ht="12.75">
      <c r="A109" s="18"/>
      <c r="B109" s="18"/>
      <c r="C109" s="18"/>
    </row>
    <row r="110" spans="1:3" ht="12.75">
      <c r="A110" s="18"/>
      <c r="B110" s="18"/>
      <c r="C110" s="18"/>
    </row>
    <row r="111" spans="1:3" ht="12.75">
      <c r="A111" s="18"/>
      <c r="B111" s="18"/>
      <c r="C111" s="18"/>
    </row>
    <row r="112" spans="1:3" ht="12.75">
      <c r="A112" s="18"/>
      <c r="B112" s="18"/>
      <c r="C112" s="18"/>
    </row>
    <row r="113" spans="1:3" ht="12.75">
      <c r="A113" s="18"/>
      <c r="B113" s="18"/>
      <c r="C113" s="18"/>
    </row>
    <row r="114" spans="1:3" ht="12.75">
      <c r="A114" s="18"/>
      <c r="B114" s="18"/>
      <c r="C114" s="18"/>
    </row>
    <row r="115" spans="1:3" ht="12.75">
      <c r="A115" s="18"/>
      <c r="B115" s="18"/>
      <c r="C115" s="18"/>
    </row>
    <row r="116" spans="1:3" ht="12.75">
      <c r="A116" s="18"/>
      <c r="B116" s="18"/>
      <c r="C116" s="18"/>
    </row>
    <row r="117" spans="1:3" ht="12.75">
      <c r="A117" s="18"/>
      <c r="B117" s="18"/>
      <c r="C117" s="18"/>
    </row>
    <row r="118" spans="1:3" ht="12.75">
      <c r="A118" s="18"/>
      <c r="B118" s="18"/>
      <c r="C118" s="18"/>
    </row>
    <row r="119" spans="1:3" ht="12.75">
      <c r="A119" s="18"/>
      <c r="B119" s="18"/>
      <c r="C119" s="18"/>
    </row>
    <row r="120" spans="1:3" ht="12.75">
      <c r="A120" s="18"/>
      <c r="B120" s="18"/>
      <c r="C120" s="18"/>
    </row>
    <row r="121" spans="1:3" ht="12.75">
      <c r="A121" s="18"/>
      <c r="B121" s="18"/>
      <c r="C121" s="18"/>
    </row>
    <row r="122" spans="1:3" ht="12.75">
      <c r="A122" s="18"/>
      <c r="B122" s="18"/>
      <c r="C122" s="18"/>
    </row>
    <row r="123" spans="1:3" ht="12.75">
      <c r="A123" s="18"/>
      <c r="B123" s="18"/>
      <c r="C123" s="18"/>
    </row>
    <row r="124" spans="1:3" ht="12.75">
      <c r="A124" s="18"/>
      <c r="B124" s="18"/>
      <c r="C124" s="18"/>
    </row>
    <row r="125" spans="1:3" ht="12.75">
      <c r="A125" s="18"/>
      <c r="B125" s="18"/>
      <c r="C125" s="18"/>
    </row>
    <row r="126" spans="1:3" ht="12.75">
      <c r="A126" s="18"/>
      <c r="B126" s="18"/>
      <c r="C126" s="18"/>
    </row>
    <row r="127" spans="1:3" ht="12.75">
      <c r="A127" s="18"/>
      <c r="B127" s="18"/>
      <c r="C127" s="18"/>
    </row>
    <row r="128" spans="1:3" ht="12.75">
      <c r="A128" s="18"/>
      <c r="B128" s="18"/>
      <c r="C128" s="18"/>
    </row>
    <row r="129" spans="1:3" ht="12.75">
      <c r="A129" s="18"/>
      <c r="B129" s="18"/>
      <c r="C129" s="18"/>
    </row>
    <row r="130" spans="1:3" ht="12.75">
      <c r="A130" s="18"/>
      <c r="B130" s="18"/>
      <c r="C130" s="18"/>
    </row>
    <row r="131" spans="1:3" ht="12.75">
      <c r="A131" s="18"/>
      <c r="B131" s="18"/>
      <c r="C131" s="18"/>
    </row>
    <row r="132" spans="1:3" ht="12.75">
      <c r="A132" s="18"/>
      <c r="B132" s="18"/>
      <c r="C132" s="18"/>
    </row>
    <row r="133" spans="1:3" ht="12.75">
      <c r="A133" s="18"/>
      <c r="B133" s="18"/>
      <c r="C133" s="18"/>
    </row>
    <row r="134" spans="1:3" ht="12.75">
      <c r="A134" s="18"/>
      <c r="B134" s="18"/>
      <c r="C134" s="18"/>
    </row>
    <row r="135" spans="1:3" ht="12.75">
      <c r="A135" s="18"/>
      <c r="B135" s="18"/>
      <c r="C135" s="18"/>
    </row>
    <row r="136" spans="1:3" ht="12.75">
      <c r="A136" s="18"/>
      <c r="B136" s="18"/>
      <c r="C136" s="18"/>
    </row>
    <row r="137" spans="1:3" ht="12.75">
      <c r="A137" s="18"/>
      <c r="B137" s="18"/>
      <c r="C137" s="18"/>
    </row>
    <row r="138" spans="1:3" ht="12.75">
      <c r="A138" s="18"/>
      <c r="B138" s="18"/>
      <c r="C138" s="18"/>
    </row>
    <row r="139" spans="1:3" ht="12.75">
      <c r="A139" s="18"/>
      <c r="B139" s="18"/>
      <c r="C139" s="18"/>
    </row>
    <row r="140" spans="1:3" ht="12.75">
      <c r="A140" s="18"/>
      <c r="B140" s="18"/>
      <c r="C140" s="18"/>
    </row>
    <row r="141" spans="1:3" ht="12.75">
      <c r="A141" s="18"/>
      <c r="B141" s="18"/>
      <c r="C141" s="18"/>
    </row>
    <row r="142" spans="1:3" ht="12.75">
      <c r="A142" s="18"/>
      <c r="B142" s="18"/>
      <c r="C142" s="18"/>
    </row>
    <row r="143" spans="1:3" ht="12.75">
      <c r="A143" s="18"/>
      <c r="B143" s="18"/>
      <c r="C143" s="18"/>
    </row>
    <row r="144" spans="1:3" ht="12.75">
      <c r="A144" s="18"/>
      <c r="B144" s="18"/>
      <c r="C144" s="18"/>
    </row>
    <row r="145" spans="1:3" ht="12.75">
      <c r="A145" s="18"/>
      <c r="B145" s="18"/>
      <c r="C145" s="18"/>
    </row>
    <row r="146" spans="1:3" ht="12.75">
      <c r="A146" s="18"/>
      <c r="B146" s="18"/>
      <c r="C146" s="18"/>
    </row>
    <row r="147" spans="1:3" ht="12.75">
      <c r="A147" s="18"/>
      <c r="B147" s="18"/>
      <c r="C147" s="18"/>
    </row>
    <row r="148" spans="1:3" ht="12.75">
      <c r="A148" s="18"/>
      <c r="B148" s="18"/>
      <c r="C148" s="18"/>
    </row>
    <row r="149" spans="1:3" ht="12.75">
      <c r="A149" s="18"/>
      <c r="B149" s="18"/>
      <c r="C149" s="18"/>
    </row>
    <row r="150" spans="1:3" ht="12.75">
      <c r="A150" s="18"/>
      <c r="B150" s="18"/>
      <c r="C150" s="18"/>
    </row>
    <row r="151" spans="1:3" ht="12.75">
      <c r="A151" s="18"/>
      <c r="B151" s="18"/>
      <c r="C151" s="18"/>
    </row>
    <row r="152" spans="1:3" ht="12.75">
      <c r="A152" s="18"/>
      <c r="B152" s="18"/>
      <c r="C152" s="18"/>
    </row>
    <row r="153" spans="1:3" ht="12.75">
      <c r="A153" s="18"/>
      <c r="B153" s="18"/>
      <c r="C153" s="18"/>
    </row>
    <row r="154" spans="1:3" ht="12.75">
      <c r="A154" s="18"/>
      <c r="B154" s="18"/>
      <c r="C154" s="18"/>
    </row>
    <row r="155" spans="1:3" ht="12.75">
      <c r="A155" s="18"/>
      <c r="B155" s="18"/>
      <c r="C155" s="18"/>
    </row>
    <row r="156" spans="1:3" ht="12.75">
      <c r="A156" s="18"/>
      <c r="B156" s="18"/>
      <c r="C156" s="18"/>
    </row>
    <row r="157" spans="1:3" ht="12.75">
      <c r="A157" s="18"/>
      <c r="B157" s="18"/>
      <c r="C157" s="18"/>
    </row>
    <row r="158" spans="1:3" ht="12.75">
      <c r="A158" s="18"/>
      <c r="B158" s="18"/>
      <c r="C158" s="18"/>
    </row>
    <row r="159" spans="1:3" ht="12.75">
      <c r="A159" s="18"/>
      <c r="B159" s="18"/>
      <c r="C159" s="18"/>
    </row>
    <row r="160" spans="1:3" ht="12.75">
      <c r="A160" s="18"/>
      <c r="B160" s="18"/>
      <c r="C160" s="18"/>
    </row>
    <row r="161" spans="1:3" ht="12.75">
      <c r="A161" s="18"/>
      <c r="B161" s="18"/>
      <c r="C161" s="18"/>
    </row>
    <row r="162" spans="1:3" ht="12.75">
      <c r="A162" s="18"/>
      <c r="B162" s="18"/>
      <c r="C162" s="18"/>
    </row>
    <row r="163" spans="1:3" ht="12.75">
      <c r="A163" s="18"/>
      <c r="B163" s="18"/>
      <c r="C163" s="18"/>
    </row>
    <row r="164" spans="1:3" ht="12.75">
      <c r="A164" s="18"/>
      <c r="B164" s="18"/>
      <c r="C164" s="18"/>
    </row>
    <row r="165" spans="1:3" ht="12.75">
      <c r="A165" s="18"/>
      <c r="B165" s="18"/>
      <c r="C165" s="18"/>
    </row>
    <row r="166" spans="1:3" ht="12.75">
      <c r="A166" s="18"/>
      <c r="B166" s="18"/>
      <c r="C166" s="18"/>
    </row>
    <row r="167" spans="1:3" ht="12.75">
      <c r="A167" s="18"/>
      <c r="B167" s="18"/>
      <c r="C167" s="18"/>
    </row>
    <row r="168" spans="1:3" ht="12.75">
      <c r="A168" s="18"/>
      <c r="B168" s="18"/>
      <c r="C168" s="18"/>
    </row>
    <row r="169" spans="1:3" ht="12.75">
      <c r="A169" s="18"/>
      <c r="B169" s="18"/>
      <c r="C169" s="18"/>
    </row>
    <row r="170" spans="1:3" ht="12.75">
      <c r="A170" s="18"/>
      <c r="B170" s="18"/>
      <c r="C170" s="18"/>
    </row>
    <row r="171" spans="1:3" ht="12.75">
      <c r="A171" s="18"/>
      <c r="B171" s="18"/>
      <c r="C171" s="18"/>
    </row>
    <row r="172" spans="1:3" ht="12.75">
      <c r="A172" s="18"/>
      <c r="B172" s="18"/>
      <c r="C172" s="18"/>
    </row>
    <row r="173" spans="1:3" ht="12.75">
      <c r="A173" s="18"/>
      <c r="B173" s="18"/>
      <c r="C173" s="18"/>
    </row>
    <row r="174" spans="1:3" ht="12.75">
      <c r="A174" s="18"/>
      <c r="B174" s="18"/>
      <c r="C174" s="18"/>
    </row>
    <row r="175" spans="1:3" ht="12.75">
      <c r="A175" s="18"/>
      <c r="B175" s="18"/>
      <c r="C175" s="18"/>
    </row>
    <row r="176" spans="1:3" ht="12.75">
      <c r="A176" s="18"/>
      <c r="B176" s="18"/>
      <c r="C176" s="18"/>
    </row>
    <row r="177" spans="1:3" ht="12.75">
      <c r="A177" s="18"/>
      <c r="B177" s="18"/>
      <c r="C177" s="18"/>
    </row>
    <row r="178" spans="1:3" ht="12.75">
      <c r="A178" s="18"/>
      <c r="B178" s="18"/>
      <c r="C178" s="18"/>
    </row>
    <row r="179" spans="1:3" ht="12.75">
      <c r="A179" s="18"/>
      <c r="B179" s="18"/>
      <c r="C179" s="18"/>
    </row>
    <row r="180" spans="1:3" ht="12.75">
      <c r="A180" s="18"/>
      <c r="B180" s="18"/>
      <c r="C180" s="18"/>
    </row>
    <row r="181" spans="1:3" ht="12.75">
      <c r="A181" s="18"/>
      <c r="B181" s="18"/>
      <c r="C181" s="18"/>
    </row>
    <row r="182" spans="1:3" ht="12.75">
      <c r="A182" s="18"/>
      <c r="B182" s="18"/>
      <c r="C182" s="18"/>
    </row>
    <row r="183" spans="1:3" ht="12.75">
      <c r="A183" s="18"/>
      <c r="B183" s="18"/>
      <c r="C183" s="18"/>
    </row>
    <row r="184" spans="1:3" ht="12.75">
      <c r="A184" s="18"/>
      <c r="B184" s="18"/>
      <c r="C184" s="18"/>
    </row>
    <row r="185" spans="1:3" ht="12.75">
      <c r="A185" s="18"/>
      <c r="B185" s="18"/>
      <c r="C185" s="18"/>
    </row>
    <row r="186" spans="1:3" ht="12.75">
      <c r="A186" s="18"/>
      <c r="B186" s="18"/>
      <c r="C186" s="18"/>
    </row>
    <row r="187" spans="1:3" ht="12.75">
      <c r="A187" s="18"/>
      <c r="B187" s="18"/>
      <c r="C187" s="18"/>
    </row>
    <row r="188" spans="1:3" ht="12.75">
      <c r="A188" s="18"/>
      <c r="B188" s="18"/>
      <c r="C188" s="18"/>
    </row>
    <row r="189" spans="1:3" ht="12.75">
      <c r="A189" s="18"/>
      <c r="B189" s="18"/>
      <c r="C189" s="18"/>
    </row>
    <row r="190" spans="1:3" ht="12.75">
      <c r="A190" s="18"/>
      <c r="B190" s="18"/>
      <c r="C190" s="18"/>
    </row>
    <row r="191" spans="1:3" ht="12.75">
      <c r="A191" s="18"/>
      <c r="B191" s="18"/>
      <c r="C191" s="18"/>
    </row>
    <row r="192" spans="1:3" ht="12.75">
      <c r="A192" s="18"/>
      <c r="B192" s="18"/>
      <c r="C192" s="18"/>
    </row>
    <row r="193" spans="1:3" ht="12.75">
      <c r="A193" s="18"/>
      <c r="B193" s="18"/>
      <c r="C193" s="18"/>
    </row>
    <row r="194" spans="1:3" ht="12.75">
      <c r="A194" s="18"/>
      <c r="B194" s="18"/>
      <c r="C194" s="18"/>
    </row>
    <row r="195" spans="1:3" ht="12.75">
      <c r="A195" s="18"/>
      <c r="B195" s="18"/>
      <c r="C195" s="18"/>
    </row>
    <row r="196" spans="1:3" ht="12.75">
      <c r="A196" s="18"/>
      <c r="B196" s="18"/>
      <c r="C196" s="18"/>
    </row>
    <row r="197" spans="1:3" ht="12.75">
      <c r="A197" s="18"/>
      <c r="B197" s="18"/>
      <c r="C197" s="18"/>
    </row>
    <row r="198" spans="1:3" ht="12.75">
      <c r="A198" s="18"/>
      <c r="B198" s="18"/>
      <c r="C198" s="18"/>
    </row>
    <row r="199" spans="1:3" ht="12.75">
      <c r="A199" s="18"/>
      <c r="B199" s="18"/>
      <c r="C199" s="18"/>
    </row>
    <row r="200" spans="1:3" ht="12.75">
      <c r="A200" s="18"/>
      <c r="B200" s="18"/>
      <c r="C200" s="18"/>
    </row>
    <row r="201" spans="1:3" ht="12.75">
      <c r="A201" s="18"/>
      <c r="B201" s="18"/>
      <c r="C201" s="18"/>
    </row>
    <row r="202" spans="1:3" ht="12.75">
      <c r="A202" s="18"/>
      <c r="B202" s="18"/>
      <c r="C202" s="18"/>
    </row>
    <row r="203" spans="1:3" ht="12.75">
      <c r="A203" s="18"/>
      <c r="B203" s="18"/>
      <c r="C203" s="18"/>
    </row>
    <row r="204" spans="1:3" ht="12.75">
      <c r="A204" s="18"/>
      <c r="B204" s="18"/>
      <c r="C204" s="18"/>
    </row>
    <row r="205" spans="1:3" ht="12.75">
      <c r="A205" s="18"/>
      <c r="B205" s="18"/>
      <c r="C205" s="18"/>
    </row>
    <row r="206" spans="1:3" ht="12.75">
      <c r="A206" s="18"/>
      <c r="B206" s="18"/>
      <c r="C206" s="18"/>
    </row>
    <row r="207" spans="1:3" ht="12.75">
      <c r="A207" s="18"/>
      <c r="B207" s="18"/>
      <c r="C207" s="18"/>
    </row>
    <row r="208" spans="1:3" ht="12.75">
      <c r="A208" s="18"/>
      <c r="B208" s="18"/>
      <c r="C208" s="18"/>
    </row>
    <row r="209" spans="1:3" ht="12.75">
      <c r="A209" s="18"/>
      <c r="B209" s="18"/>
      <c r="C209" s="18"/>
    </row>
    <row r="210" spans="1:3" ht="12.75">
      <c r="A210" s="18"/>
      <c r="B210" s="18"/>
      <c r="C210" s="18"/>
    </row>
    <row r="211" spans="1:3" ht="12.75">
      <c r="A211" s="18"/>
      <c r="B211" s="18"/>
      <c r="C211" s="18"/>
    </row>
    <row r="212" spans="1:3" ht="12.75">
      <c r="A212" s="18"/>
      <c r="B212" s="18"/>
      <c r="C212" s="18"/>
    </row>
    <row r="213" spans="1:3" ht="12.75">
      <c r="A213" s="18"/>
      <c r="B213" s="18"/>
      <c r="C213" s="18"/>
    </row>
    <row r="214" spans="1:3" ht="12.75">
      <c r="A214" s="18"/>
      <c r="B214" s="18"/>
      <c r="C214" s="18"/>
    </row>
    <row r="215" spans="1:3" ht="12.75">
      <c r="A215" s="18"/>
      <c r="B215" s="18"/>
      <c r="C215" s="18"/>
    </row>
    <row r="216" spans="1:3" ht="12.75">
      <c r="A216" s="18"/>
      <c r="B216" s="18"/>
      <c r="C216" s="18"/>
    </row>
    <row r="217" spans="1:3" ht="12.75">
      <c r="A217" s="18"/>
      <c r="B217" s="18"/>
      <c r="C217" s="18"/>
    </row>
    <row r="218" spans="1:3" ht="12.75">
      <c r="A218" s="18"/>
      <c r="B218" s="18"/>
      <c r="C218" s="18"/>
    </row>
    <row r="219" spans="1:3" ht="12.75">
      <c r="A219" s="18"/>
      <c r="B219" s="18"/>
      <c r="C219" s="18"/>
    </row>
    <row r="220" spans="1:3" ht="12.75">
      <c r="A220" s="18"/>
      <c r="B220" s="18"/>
      <c r="C220" s="18"/>
    </row>
    <row r="221" spans="1:3" ht="12.75">
      <c r="A221" s="18"/>
      <c r="B221" s="18"/>
      <c r="C221" s="18"/>
    </row>
    <row r="222" spans="1:3" ht="12.75">
      <c r="A222" s="18"/>
      <c r="B222" s="18"/>
      <c r="C222" s="18"/>
    </row>
    <row r="223" spans="1:3" ht="12.75">
      <c r="A223" s="18"/>
      <c r="B223" s="18"/>
      <c r="C223" s="18"/>
    </row>
    <row r="224" spans="1:3" ht="12.75">
      <c r="A224" s="18"/>
      <c r="B224" s="18"/>
      <c r="C224" s="18"/>
    </row>
    <row r="225" spans="1:3" ht="12.75">
      <c r="A225" s="18"/>
      <c r="B225" s="18"/>
      <c r="C225" s="18"/>
    </row>
    <row r="226" spans="1:3" ht="12.75">
      <c r="A226" s="18"/>
      <c r="B226" s="18"/>
      <c r="C226" s="18"/>
    </row>
    <row r="227" spans="1:3" ht="12.75">
      <c r="A227" s="18"/>
      <c r="B227" s="18"/>
      <c r="C227" s="18"/>
    </row>
    <row r="228" spans="1:3" ht="12.75">
      <c r="A228" s="18"/>
      <c r="B228" s="18"/>
      <c r="C228" s="18"/>
    </row>
    <row r="229" spans="1:3" ht="12.75">
      <c r="A229" s="18"/>
      <c r="B229" s="18"/>
      <c r="C229" s="18"/>
    </row>
    <row r="230" spans="1:3" ht="12.75">
      <c r="A230" s="18"/>
      <c r="B230" s="18"/>
      <c r="C230" s="18"/>
    </row>
    <row r="231" spans="1:3" ht="12.75">
      <c r="A231" s="18"/>
      <c r="B231" s="18"/>
      <c r="C231" s="18"/>
    </row>
    <row r="232" spans="1:3" ht="12.75">
      <c r="A232" s="18"/>
      <c r="B232" s="18"/>
      <c r="C232" s="18"/>
    </row>
    <row r="233" spans="1:3" ht="12.75">
      <c r="A233" s="18"/>
      <c r="B233" s="18"/>
      <c r="C233" s="18"/>
    </row>
    <row r="234" spans="1:3" ht="12.75">
      <c r="A234" s="18"/>
      <c r="B234" s="18"/>
      <c r="C234" s="18"/>
    </row>
    <row r="235" spans="1:3" ht="12.75">
      <c r="A235" s="18"/>
      <c r="B235" s="18"/>
      <c r="C235" s="18"/>
    </row>
    <row r="236" spans="1:3" ht="12.75">
      <c r="A236" s="18"/>
      <c r="B236" s="18"/>
      <c r="C236" s="18"/>
    </row>
    <row r="237" spans="1:3" ht="12.75">
      <c r="A237" s="18"/>
      <c r="B237" s="18"/>
      <c r="C237" s="18"/>
    </row>
    <row r="238" spans="1:3" ht="12.75">
      <c r="A238" s="18"/>
      <c r="B238" s="18"/>
      <c r="C238" s="18"/>
    </row>
    <row r="239" spans="1:3" ht="12.75">
      <c r="A239" s="18"/>
      <c r="B239" s="18"/>
      <c r="C239" s="18"/>
    </row>
    <row r="240" spans="1:3" ht="12.75">
      <c r="A240" s="18"/>
      <c r="B240" s="18"/>
      <c r="C240" s="18"/>
    </row>
    <row r="241" spans="1:3" ht="12.75">
      <c r="A241" s="18"/>
      <c r="B241" s="18"/>
      <c r="C241" s="18"/>
    </row>
    <row r="242" spans="1:3" ht="12.75">
      <c r="A242" s="18"/>
      <c r="B242" s="18"/>
      <c r="C242" s="18"/>
    </row>
    <row r="243" spans="1:3" ht="12.75">
      <c r="A243" s="18"/>
      <c r="B243" s="18"/>
      <c r="C243" s="18"/>
    </row>
    <row r="244" spans="1:3" ht="12.75">
      <c r="A244" s="18"/>
      <c r="B244" s="18"/>
      <c r="C244" s="18"/>
    </row>
    <row r="245" spans="1:3" ht="12.75">
      <c r="A245" s="18"/>
      <c r="B245" s="18"/>
      <c r="C245" s="18"/>
    </row>
    <row r="246" spans="1:3" ht="12.75">
      <c r="A246" s="18"/>
      <c r="B246" s="18"/>
      <c r="C246" s="18"/>
    </row>
    <row r="247" spans="1:3" ht="12.75">
      <c r="A247" s="18"/>
      <c r="B247" s="18"/>
      <c r="C247" s="18"/>
    </row>
    <row r="248" spans="1:3" ht="12.75">
      <c r="A248" s="18"/>
      <c r="B248" s="18"/>
      <c r="C248" s="18"/>
    </row>
    <row r="249" spans="1:3" ht="12.75">
      <c r="A249" s="18"/>
      <c r="B249" s="18"/>
      <c r="C249" s="18"/>
    </row>
    <row r="250" spans="1:3" ht="12.75">
      <c r="A250" s="18"/>
      <c r="B250" s="18"/>
      <c r="C250" s="18"/>
    </row>
    <row r="251" spans="1:3" ht="12.75">
      <c r="A251" s="18"/>
      <c r="B251" s="18"/>
      <c r="C251" s="18"/>
    </row>
    <row r="252" spans="1:3" ht="12.75">
      <c r="A252" s="18"/>
      <c r="B252" s="18"/>
      <c r="C252" s="18"/>
    </row>
    <row r="253" spans="1:3" ht="12.75">
      <c r="A253" s="18"/>
      <c r="B253" s="18"/>
      <c r="C253" s="18"/>
    </row>
    <row r="254" spans="1:3" ht="12.75">
      <c r="A254" s="18"/>
      <c r="B254" s="18"/>
      <c r="C254" s="18"/>
    </row>
    <row r="255" spans="1:3" ht="12.75">
      <c r="A255" s="18"/>
      <c r="B255" s="18"/>
      <c r="C255" s="18"/>
    </row>
    <row r="256" spans="1:3" ht="12.75">
      <c r="A256" s="18"/>
      <c r="B256" s="18"/>
      <c r="C256" s="18"/>
    </row>
    <row r="257" spans="1:3" ht="12.75">
      <c r="A257" s="18"/>
      <c r="B257" s="18"/>
      <c r="C257" s="18"/>
    </row>
    <row r="258" spans="1:3" ht="12.75">
      <c r="A258" s="18"/>
      <c r="B258" s="18"/>
      <c r="C258" s="18"/>
    </row>
    <row r="259" spans="1:3" ht="12.75">
      <c r="A259" s="18"/>
      <c r="B259" s="18"/>
      <c r="C259" s="18"/>
    </row>
    <row r="260" spans="1:3" ht="12.75">
      <c r="A260" s="18"/>
      <c r="B260" s="18"/>
      <c r="C260" s="18"/>
    </row>
    <row r="261" spans="1:3" ht="12.75">
      <c r="A261" s="18"/>
      <c r="B261" s="18"/>
      <c r="C261" s="18"/>
    </row>
    <row r="262" spans="1:3" ht="12.75">
      <c r="A262" s="18"/>
      <c r="B262" s="18"/>
      <c r="C262" s="18"/>
    </row>
    <row r="263" spans="1:3" ht="12.75">
      <c r="A263" s="18"/>
      <c r="B263" s="18"/>
      <c r="C263" s="18"/>
    </row>
    <row r="264" spans="1:3" ht="12.75">
      <c r="A264" s="18"/>
      <c r="B264" s="18"/>
      <c r="C264" s="18"/>
    </row>
    <row r="265" spans="1:3" ht="12.75">
      <c r="A265" s="18"/>
      <c r="B265" s="18"/>
      <c r="C265" s="18"/>
    </row>
    <row r="266" spans="1:3" ht="12.75">
      <c r="A266" s="18"/>
      <c r="B266" s="18"/>
      <c r="C266" s="18"/>
    </row>
    <row r="267" spans="1:3" ht="12.75">
      <c r="A267" s="18"/>
      <c r="B267" s="18"/>
      <c r="C267" s="18"/>
    </row>
    <row r="268" spans="1:3" ht="12.75">
      <c r="A268" s="18"/>
      <c r="B268" s="18"/>
      <c r="C268" s="18"/>
    </row>
    <row r="269" spans="1:3" ht="12.75">
      <c r="A269" s="18"/>
      <c r="B269" s="18"/>
      <c r="C269" s="18"/>
    </row>
    <row r="270" spans="1:3" ht="12.75">
      <c r="A270" s="18"/>
      <c r="B270" s="18"/>
      <c r="C270" s="18"/>
    </row>
    <row r="271" spans="1:3" ht="12.75">
      <c r="A271" s="18"/>
      <c r="B271" s="18"/>
      <c r="C271" s="18"/>
    </row>
    <row r="272" spans="1:3" ht="12.75">
      <c r="A272" s="18"/>
      <c r="B272" s="18"/>
      <c r="C272" s="18"/>
    </row>
    <row r="273" spans="1:3" ht="12.75">
      <c r="A273" s="18"/>
      <c r="B273" s="18"/>
      <c r="C273" s="18"/>
    </row>
    <row r="274" spans="1:3" ht="12.75">
      <c r="A274" s="18"/>
      <c r="B274" s="18"/>
      <c r="C274" s="18"/>
    </row>
    <row r="275" spans="1:3" ht="12.75">
      <c r="A275" s="18"/>
      <c r="B275" s="18"/>
      <c r="C275" s="18"/>
    </row>
    <row r="276" spans="1:3" ht="12.75">
      <c r="A276" s="18"/>
      <c r="B276" s="18"/>
      <c r="C276" s="18"/>
    </row>
    <row r="277" spans="1:3" ht="12.75">
      <c r="A277" s="18"/>
      <c r="B277" s="18"/>
      <c r="C277" s="18"/>
    </row>
    <row r="278" spans="1:3" ht="12.75">
      <c r="A278" s="18"/>
      <c r="B278" s="18"/>
      <c r="C278" s="18"/>
    </row>
    <row r="279" spans="1:3" ht="12.75">
      <c r="A279" s="18"/>
      <c r="B279" s="18"/>
      <c r="C279" s="18"/>
    </row>
    <row r="280" spans="1:3" ht="12.75">
      <c r="A280" s="18"/>
      <c r="B280" s="18"/>
      <c r="C280" s="18"/>
    </row>
    <row r="281" spans="1:3" ht="12.75">
      <c r="A281" s="18"/>
      <c r="B281" s="18"/>
      <c r="C281" s="18"/>
    </row>
    <row r="282" spans="1:3" ht="12.75">
      <c r="A282" s="18"/>
      <c r="B282" s="18"/>
      <c r="C282" s="18"/>
    </row>
    <row r="283" spans="1:3" ht="12.75">
      <c r="A283" s="18"/>
      <c r="B283" s="18"/>
      <c r="C283" s="18"/>
    </row>
    <row r="284" spans="1:3" ht="12.75">
      <c r="A284" s="18"/>
      <c r="B284" s="18"/>
      <c r="C284" s="18"/>
    </row>
    <row r="285" spans="1:3" ht="12.75">
      <c r="A285" s="18"/>
      <c r="B285" s="18"/>
      <c r="C285" s="18"/>
    </row>
    <row r="286" spans="1:3" ht="12.75">
      <c r="A286" s="18"/>
      <c r="B286" s="18"/>
      <c r="C286" s="18"/>
    </row>
    <row r="287" spans="1:3" ht="12.75">
      <c r="A287" s="18"/>
      <c r="B287" s="18"/>
      <c r="C287" s="18"/>
    </row>
    <row r="288" spans="1:3" ht="12.75">
      <c r="A288" s="18"/>
      <c r="B288" s="18"/>
      <c r="C288" s="18"/>
    </row>
    <row r="289" spans="1:3" ht="12.75">
      <c r="A289" s="18"/>
      <c r="B289" s="18"/>
      <c r="C289" s="18"/>
    </row>
    <row r="290" spans="1:3" ht="12.75">
      <c r="A290" s="18"/>
      <c r="B290" s="18"/>
      <c r="C290" s="18"/>
    </row>
    <row r="291" spans="1:3" ht="12.75">
      <c r="A291" s="18"/>
      <c r="B291" s="18"/>
      <c r="C291" s="18"/>
    </row>
    <row r="292" spans="1:3" ht="12.75">
      <c r="A292" s="18"/>
      <c r="B292" s="18"/>
      <c r="C292" s="18"/>
    </row>
    <row r="293" spans="1:3" ht="12.75">
      <c r="A293" s="18"/>
      <c r="B293" s="18"/>
      <c r="C293" s="18"/>
    </row>
    <row r="294" spans="1:3" ht="12.75">
      <c r="A294" s="18"/>
      <c r="B294" s="18"/>
      <c r="C294" s="18"/>
    </row>
    <row r="295" spans="1:3" ht="12.75">
      <c r="A295" s="18"/>
      <c r="B295" s="18"/>
      <c r="C295" s="18"/>
    </row>
    <row r="296" spans="1:3" ht="12.75">
      <c r="A296" s="18"/>
      <c r="B296" s="18"/>
      <c r="C296" s="18"/>
    </row>
    <row r="297" spans="1:3" ht="12.75">
      <c r="A297" s="18"/>
      <c r="B297" s="18"/>
      <c r="C297" s="18"/>
    </row>
    <row r="298" spans="1:3" ht="12.75">
      <c r="A298" s="18"/>
      <c r="B298" s="18"/>
      <c r="C298" s="18"/>
    </row>
    <row r="299" spans="1:3" ht="12.75">
      <c r="A299" s="18"/>
      <c r="B299" s="18"/>
      <c r="C299" s="18"/>
    </row>
    <row r="300" spans="1:3" ht="12.75">
      <c r="A300" s="18"/>
      <c r="B300" s="18"/>
      <c r="C300" s="18"/>
    </row>
    <row r="301" spans="1:3" ht="12.75">
      <c r="A301" s="18"/>
      <c r="B301" s="18"/>
      <c r="C301" s="18"/>
    </row>
    <row r="302" spans="1:3" ht="12.75">
      <c r="A302" s="18"/>
      <c r="B302" s="18"/>
      <c r="C302" s="18"/>
    </row>
    <row r="303" spans="1:3" ht="12.75">
      <c r="A303" s="18"/>
      <c r="B303" s="18"/>
      <c r="C303" s="18"/>
    </row>
    <row r="304" spans="1:3" ht="12.75">
      <c r="A304" s="18"/>
      <c r="B304" s="18"/>
      <c r="C304" s="18"/>
    </row>
    <row r="305" spans="1:3" ht="12.75">
      <c r="A305" s="18"/>
      <c r="B305" s="18"/>
      <c r="C305" s="18"/>
    </row>
    <row r="306" spans="1:3" ht="12.75">
      <c r="A306" s="18"/>
      <c r="B306" s="18"/>
      <c r="C306" s="18"/>
    </row>
    <row r="307" spans="1:3" ht="12.75">
      <c r="A307" s="18"/>
      <c r="B307" s="18"/>
      <c r="C307" s="18"/>
    </row>
    <row r="308" spans="1:3" ht="12.75">
      <c r="A308" s="18"/>
      <c r="B308" s="18"/>
      <c r="C308" s="18"/>
    </row>
    <row r="309" spans="1:3" ht="12.75">
      <c r="A309" s="18"/>
      <c r="B309" s="18"/>
      <c r="C309" s="18"/>
    </row>
    <row r="310" spans="1:3" ht="12.75">
      <c r="A310" s="18"/>
      <c r="B310" s="18"/>
      <c r="C310" s="18"/>
    </row>
    <row r="311" spans="1:3" ht="12.75">
      <c r="A311" s="18"/>
      <c r="B311" s="18"/>
      <c r="C311" s="18"/>
    </row>
    <row r="312" spans="1:3" ht="12.75">
      <c r="A312" s="18"/>
      <c r="B312" s="18"/>
      <c r="C312" s="18"/>
    </row>
    <row r="313" spans="1:3" ht="12.75">
      <c r="A313" s="18"/>
      <c r="B313" s="18"/>
      <c r="C313" s="18"/>
    </row>
    <row r="314" spans="1:3" ht="12.75">
      <c r="A314" s="18"/>
      <c r="B314" s="18"/>
      <c r="C314" s="18"/>
    </row>
    <row r="315" spans="1:3" ht="12.75">
      <c r="A315" s="18"/>
      <c r="B315" s="18"/>
      <c r="C315" s="18"/>
    </row>
    <row r="316" spans="1:3" ht="12.75">
      <c r="A316" s="18"/>
      <c r="B316" s="18"/>
      <c r="C316" s="18"/>
    </row>
    <row r="317" spans="1:3" ht="12.75">
      <c r="A317" s="18"/>
      <c r="B317" s="18"/>
      <c r="C317" s="18"/>
    </row>
    <row r="318" spans="1:3" ht="12.75">
      <c r="A318" s="18"/>
      <c r="B318" s="18"/>
      <c r="C318" s="18"/>
    </row>
    <row r="319" spans="1:3" ht="12.75">
      <c r="A319" s="18"/>
      <c r="B319" s="18"/>
      <c r="C319" s="18"/>
    </row>
    <row r="320" spans="1:3" ht="12.75">
      <c r="A320" s="18"/>
      <c r="B320" s="18"/>
      <c r="C320" s="18"/>
    </row>
    <row r="321" spans="1:3" ht="12.75">
      <c r="A321" s="18"/>
      <c r="B321" s="18"/>
      <c r="C321" s="18"/>
    </row>
    <row r="322" spans="1:3" ht="12.75">
      <c r="A322" s="18"/>
      <c r="B322" s="18"/>
      <c r="C322" s="18"/>
    </row>
    <row r="323" spans="1:3" ht="12.75">
      <c r="A323" s="18"/>
      <c r="B323" s="18"/>
      <c r="C323" s="18"/>
    </row>
    <row r="324" spans="1:3" ht="12.75">
      <c r="A324" s="18"/>
      <c r="B324" s="18"/>
      <c r="C324" s="18"/>
    </row>
    <row r="325" spans="1:3" ht="12.75">
      <c r="A325" s="18"/>
      <c r="B325" s="18"/>
      <c r="C325" s="18"/>
    </row>
    <row r="326" spans="1:3" ht="12.75">
      <c r="A326" s="18"/>
      <c r="B326" s="18"/>
      <c r="C326" s="18"/>
    </row>
    <row r="327" spans="1:3" ht="12.75">
      <c r="A327" s="18"/>
      <c r="B327" s="18"/>
      <c r="C327" s="18"/>
    </row>
    <row r="328" spans="1:3" ht="12.75">
      <c r="A328" s="18"/>
      <c r="B328" s="18"/>
      <c r="C328" s="18"/>
    </row>
    <row r="329" spans="1:3" ht="12.75">
      <c r="A329" s="18"/>
      <c r="B329" s="18"/>
      <c r="C329" s="18"/>
    </row>
    <row r="330" spans="1:3" ht="12.75">
      <c r="A330" s="18"/>
      <c r="B330" s="18"/>
      <c r="C330" s="18"/>
    </row>
    <row r="331" spans="1:3" ht="12.75">
      <c r="A331" s="18"/>
      <c r="B331" s="18"/>
      <c r="C331" s="18"/>
    </row>
    <row r="332" spans="1:3" ht="12.75">
      <c r="A332" s="18"/>
      <c r="B332" s="18"/>
      <c r="C332" s="18"/>
    </row>
    <row r="333" spans="1:3" ht="12.75">
      <c r="A333" s="18"/>
      <c r="B333" s="18"/>
      <c r="C333" s="18"/>
    </row>
    <row r="334" spans="1:3" ht="12.75">
      <c r="A334" s="18"/>
      <c r="B334" s="18"/>
      <c r="C334" s="18"/>
    </row>
    <row r="335" spans="1:3" ht="12.75">
      <c r="A335" s="18"/>
      <c r="B335" s="18"/>
      <c r="C335" s="18"/>
    </row>
    <row r="336" spans="1:3" ht="12.75">
      <c r="A336" s="18"/>
      <c r="B336" s="18"/>
      <c r="C336" s="18"/>
    </row>
    <row r="337" spans="1:3" ht="12.75">
      <c r="A337" s="18"/>
      <c r="B337" s="18"/>
      <c r="C337" s="18"/>
    </row>
    <row r="338" spans="1:3" ht="12.75">
      <c r="A338" s="18"/>
      <c r="B338" s="18"/>
      <c r="C338" s="18"/>
    </row>
    <row r="339" spans="1:3" ht="12.75">
      <c r="A339" s="18"/>
      <c r="B339" s="18"/>
      <c r="C339" s="18"/>
    </row>
    <row r="340" spans="1:3" ht="12.75">
      <c r="A340" s="18"/>
      <c r="B340" s="18"/>
      <c r="C340" s="18"/>
    </row>
    <row r="341" spans="1:3" ht="12.75">
      <c r="A341" s="18"/>
      <c r="B341" s="18"/>
      <c r="C341" s="18"/>
    </row>
    <row r="342" spans="1:3" ht="12.75">
      <c r="A342" s="18"/>
      <c r="B342" s="18"/>
      <c r="C342" s="18"/>
    </row>
    <row r="343" spans="1:3" ht="12.75">
      <c r="A343" s="18"/>
      <c r="B343" s="18"/>
      <c r="C343" s="18"/>
    </row>
    <row r="344" spans="1:3" ht="12.75">
      <c r="A344" s="18"/>
      <c r="B344" s="18"/>
      <c r="C344" s="18"/>
    </row>
    <row r="345" spans="1:3" ht="12.75">
      <c r="A345" s="18"/>
      <c r="B345" s="18"/>
      <c r="C345" s="18"/>
    </row>
    <row r="346" spans="1:3" ht="12.75">
      <c r="A346" s="18"/>
      <c r="B346" s="18"/>
      <c r="C346" s="18"/>
    </row>
    <row r="347" spans="1:3" ht="12.75">
      <c r="A347" s="18"/>
      <c r="B347" s="18"/>
      <c r="C347" s="18"/>
    </row>
    <row r="348" spans="1:3" ht="12.75">
      <c r="A348" s="18"/>
      <c r="B348" s="18"/>
      <c r="C348" s="18"/>
    </row>
    <row r="349" spans="1:3" ht="12.75">
      <c r="A349" s="18"/>
      <c r="B349" s="18"/>
      <c r="C349" s="18"/>
    </row>
    <row r="350" spans="1:3" ht="12.75">
      <c r="A350" s="18"/>
      <c r="B350" s="18"/>
      <c r="C350" s="18"/>
    </row>
    <row r="351" spans="1:3" ht="12.75">
      <c r="A351" s="18"/>
      <c r="B351" s="18"/>
      <c r="C351" s="18"/>
    </row>
    <row r="352" spans="1:3" ht="12.75">
      <c r="A352" s="18"/>
      <c r="B352" s="18"/>
      <c r="C352" s="18"/>
    </row>
    <row r="353" spans="1:3" ht="12.75">
      <c r="A353" s="18"/>
      <c r="B353" s="18"/>
      <c r="C353" s="18"/>
    </row>
    <row r="354" spans="1:3" ht="12.75">
      <c r="A354" s="18"/>
      <c r="B354" s="18"/>
      <c r="C354" s="18"/>
    </row>
    <row r="355" spans="1:3" ht="12.75">
      <c r="A355" s="18"/>
      <c r="B355" s="18"/>
      <c r="C355" s="18"/>
    </row>
    <row r="356" spans="1:3" ht="12.75">
      <c r="A356" s="18"/>
      <c r="B356" s="18"/>
      <c r="C356" s="18"/>
    </row>
    <row r="357" spans="1:3" ht="12.75">
      <c r="A357" s="18"/>
      <c r="B357" s="18"/>
      <c r="C357" s="18"/>
    </row>
    <row r="358" spans="1:3" ht="12.75">
      <c r="A358" s="18"/>
      <c r="B358" s="18"/>
      <c r="C358" s="18"/>
    </row>
    <row r="359" spans="1:3" ht="12.75">
      <c r="A359" s="18"/>
      <c r="B359" s="18"/>
      <c r="C359" s="18"/>
    </row>
    <row r="360" spans="1:3" ht="12.75">
      <c r="A360" s="18"/>
      <c r="B360" s="18"/>
      <c r="C360" s="18"/>
    </row>
    <row r="361" spans="1:3" ht="12.75">
      <c r="A361" s="18"/>
      <c r="B361" s="18"/>
      <c r="C361" s="18"/>
    </row>
    <row r="362" spans="1:3" ht="12.75">
      <c r="A362" s="18"/>
      <c r="B362" s="18"/>
      <c r="C362" s="18"/>
    </row>
    <row r="363" spans="1:3" ht="12.75">
      <c r="A363" s="18"/>
      <c r="B363" s="18"/>
      <c r="C363" s="18"/>
    </row>
    <row r="364" spans="1:3" ht="12.75">
      <c r="A364" s="18"/>
      <c r="B364" s="18"/>
      <c r="C364" s="18"/>
    </row>
    <row r="365" spans="1:3" ht="12.75">
      <c r="A365" s="18"/>
      <c r="B365" s="18"/>
      <c r="C365" s="18"/>
    </row>
    <row r="366" spans="1:3" ht="12.75">
      <c r="A366" s="18"/>
      <c r="B366" s="18"/>
      <c r="C366" s="18"/>
    </row>
    <row r="367" spans="1:3" ht="12.75">
      <c r="A367" s="18"/>
      <c r="B367" s="18"/>
      <c r="C367" s="18"/>
    </row>
    <row r="368" spans="1:3" ht="12.75">
      <c r="A368" s="18"/>
      <c r="B368" s="18"/>
      <c r="C368" s="18"/>
    </row>
    <row r="369" spans="1:3" ht="12.75">
      <c r="A369" s="18"/>
      <c r="B369" s="18"/>
      <c r="C369" s="18"/>
    </row>
    <row r="370" spans="1:3" ht="12.75">
      <c r="A370" s="18"/>
      <c r="B370" s="18"/>
      <c r="C370" s="18"/>
    </row>
    <row r="371" spans="1:3" ht="12.75">
      <c r="A371" s="18"/>
      <c r="B371" s="18"/>
      <c r="C371" s="18"/>
    </row>
    <row r="372" spans="1:3" ht="12.75">
      <c r="A372" s="18"/>
      <c r="B372" s="18"/>
      <c r="C372" s="18"/>
    </row>
    <row r="373" spans="1:3" ht="12.75">
      <c r="A373" s="18"/>
      <c r="B373" s="18"/>
      <c r="C373" s="18"/>
    </row>
    <row r="374" spans="1:3" ht="12.75">
      <c r="A374" s="18"/>
      <c r="B374" s="18"/>
      <c r="C374" s="18"/>
    </row>
    <row r="375" spans="1:3" ht="12.75">
      <c r="A375" s="18"/>
      <c r="B375" s="18"/>
      <c r="C375" s="18"/>
    </row>
    <row r="376" spans="1:3" ht="12.75">
      <c r="A376" s="18"/>
      <c r="B376" s="18"/>
      <c r="C376" s="18"/>
    </row>
    <row r="377" spans="1:3" ht="12.75">
      <c r="A377" s="18"/>
      <c r="B377" s="18"/>
      <c r="C377" s="18"/>
    </row>
    <row r="378" spans="1:3" ht="12.75">
      <c r="A378" s="18"/>
      <c r="B378" s="18"/>
      <c r="C378" s="18"/>
    </row>
    <row r="379" spans="1:3" ht="12.75">
      <c r="A379" s="18"/>
      <c r="B379" s="18"/>
      <c r="C379" s="18"/>
    </row>
    <row r="380" spans="1:3" ht="12.75">
      <c r="A380" s="18"/>
      <c r="B380" s="18"/>
      <c r="C380" s="18"/>
    </row>
    <row r="381" spans="1:3" ht="12.75">
      <c r="A381" s="18"/>
      <c r="B381" s="18"/>
      <c r="C381" s="18"/>
    </row>
    <row r="382" spans="1:3" ht="12.75">
      <c r="A382" s="18"/>
      <c r="B382" s="18"/>
      <c r="C382" s="18"/>
    </row>
    <row r="383" spans="1:3" ht="12.75">
      <c r="A383" s="18"/>
      <c r="B383" s="18"/>
      <c r="C383" s="18"/>
    </row>
    <row r="384" spans="1:3" ht="12.75">
      <c r="A384" s="18"/>
      <c r="B384" s="18"/>
      <c r="C384" s="18"/>
    </row>
    <row r="385" spans="1:3" ht="12.75">
      <c r="A385" s="18"/>
      <c r="B385" s="18"/>
      <c r="C385" s="18"/>
    </row>
    <row r="386" spans="1:3" ht="12.75">
      <c r="A386" s="18"/>
      <c r="B386" s="18"/>
      <c r="C386" s="18"/>
    </row>
    <row r="387" spans="1:3" ht="12.75">
      <c r="A387" s="18"/>
      <c r="B387" s="18"/>
      <c r="C387" s="18"/>
    </row>
    <row r="388" spans="1:3" ht="12.75">
      <c r="A388" s="18"/>
      <c r="B388" s="18"/>
      <c r="C388" s="18"/>
    </row>
    <row r="389" spans="1:3" ht="12.75">
      <c r="A389" s="18"/>
      <c r="B389" s="18"/>
      <c r="C389" s="18"/>
    </row>
    <row r="390" spans="1:3" ht="12.75">
      <c r="A390" s="18"/>
      <c r="B390" s="18"/>
      <c r="C390" s="18"/>
    </row>
    <row r="391" spans="1:3" ht="12.75">
      <c r="A391" s="18"/>
      <c r="B391" s="18"/>
      <c r="C391" s="18"/>
    </row>
    <row r="392" spans="1:3" ht="12.75">
      <c r="A392" s="18"/>
      <c r="B392" s="18"/>
      <c r="C392" s="18"/>
    </row>
    <row r="393" spans="1:3" ht="12.75">
      <c r="A393" s="18"/>
      <c r="B393" s="18"/>
      <c r="C393" s="18"/>
    </row>
    <row r="394" spans="1:3" ht="12.75">
      <c r="A394" s="18"/>
      <c r="B394" s="18"/>
      <c r="C394" s="18"/>
    </row>
    <row r="395" spans="1:3" ht="12.75">
      <c r="A395" s="18"/>
      <c r="B395" s="18"/>
      <c r="C395" s="18"/>
    </row>
    <row r="396" spans="1:3" ht="12.75">
      <c r="A396" s="18"/>
      <c r="B396" s="18"/>
      <c r="C396" s="18"/>
    </row>
    <row r="397" spans="1:3" ht="12.75">
      <c r="A397" s="18"/>
      <c r="B397" s="18"/>
      <c r="C397" s="18"/>
    </row>
    <row r="398" spans="1:3" ht="12.75">
      <c r="A398" s="18"/>
      <c r="B398" s="18"/>
      <c r="C398" s="18"/>
    </row>
    <row r="399" spans="1:3" ht="12.75">
      <c r="A399" s="18"/>
      <c r="B399" s="18"/>
      <c r="C399" s="18"/>
    </row>
    <row r="400" spans="1:3" ht="12.75">
      <c r="A400" s="18"/>
      <c r="B400" s="18"/>
      <c r="C400" s="18"/>
    </row>
    <row r="401" spans="1:3" ht="12.75">
      <c r="A401" s="18"/>
      <c r="B401" s="18"/>
      <c r="C401" s="18"/>
    </row>
    <row r="402" spans="1:3" ht="12.75">
      <c r="A402" s="18"/>
      <c r="B402" s="18"/>
      <c r="C402" s="18"/>
    </row>
    <row r="403" spans="1:3" ht="12.75">
      <c r="A403" s="18"/>
      <c r="B403" s="18"/>
      <c r="C403" s="18"/>
    </row>
    <row r="404" spans="1:3" ht="12.75">
      <c r="A404" s="18"/>
      <c r="B404" s="18"/>
      <c r="C404" s="18"/>
    </row>
    <row r="405" spans="1:3" ht="12.75">
      <c r="A405" s="18"/>
      <c r="B405" s="18"/>
      <c r="C405" s="18"/>
    </row>
    <row r="406" spans="1:3" ht="12.75">
      <c r="A406" s="18"/>
      <c r="B406" s="18"/>
      <c r="C406" s="18"/>
    </row>
    <row r="407" spans="1:3" ht="12.75">
      <c r="A407" s="18"/>
      <c r="B407" s="18"/>
      <c r="C407" s="18"/>
    </row>
    <row r="408" spans="1:3" ht="12.75">
      <c r="A408" s="18"/>
      <c r="B408" s="18"/>
      <c r="C408" s="18"/>
    </row>
    <row r="409" spans="1:3" ht="12.75">
      <c r="A409" s="18"/>
      <c r="B409" s="18"/>
      <c r="C409" s="18"/>
    </row>
    <row r="410" spans="1:3" ht="12.75">
      <c r="A410" s="18"/>
      <c r="B410" s="18"/>
      <c r="C410" s="18"/>
    </row>
    <row r="411" spans="1:3" ht="12.75">
      <c r="A411" s="18"/>
      <c r="B411" s="18"/>
      <c r="C411" s="18"/>
    </row>
    <row r="412" spans="1:3" ht="12.75">
      <c r="A412" s="18"/>
      <c r="B412" s="18"/>
      <c r="C412" s="18"/>
    </row>
    <row r="413" spans="1:3" ht="12.75">
      <c r="A413" s="18"/>
      <c r="B413" s="18"/>
      <c r="C413" s="18"/>
    </row>
    <row r="414" spans="1:3" ht="12.75">
      <c r="A414" s="18"/>
      <c r="B414" s="18"/>
      <c r="C414" s="18"/>
    </row>
    <row r="415" spans="1:3" ht="12.75">
      <c r="A415" s="18"/>
      <c r="B415" s="18"/>
      <c r="C415" s="18"/>
    </row>
    <row r="416" spans="1:3" ht="12.75">
      <c r="A416" s="18"/>
      <c r="B416" s="18"/>
      <c r="C416" s="18"/>
    </row>
    <row r="417" spans="1:3" ht="12.75">
      <c r="A417" s="18"/>
      <c r="B417" s="18"/>
      <c r="C417" s="18"/>
    </row>
    <row r="418" spans="1:3" ht="12.75">
      <c r="A418" s="18"/>
      <c r="B418" s="18"/>
      <c r="C418" s="18"/>
    </row>
  </sheetData>
  <mergeCells count="1">
    <mergeCell ref="B1:F3"/>
  </mergeCells>
  <printOptions/>
  <pageMargins left="0.75" right="0.75" top="1" bottom="1" header="0.4921259845" footer="0.4921259845"/>
  <pageSetup horizontalDpi="1200" verticalDpi="12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O55"/>
  <sheetViews>
    <sheetView workbookViewId="0" topLeftCell="A1">
      <selection activeCell="A1" sqref="A1"/>
    </sheetView>
  </sheetViews>
  <sheetFormatPr defaultColWidth="9.140625" defaultRowHeight="12.75"/>
  <cols>
    <col min="1" max="1" width="17.57421875" style="11" customWidth="1"/>
    <col min="2" max="2" width="13.28125" style="11" customWidth="1"/>
    <col min="3" max="3" width="25.57421875" style="11" customWidth="1"/>
    <col min="4" max="4" width="34.57421875" style="11" customWidth="1"/>
    <col min="5" max="11" width="9.140625" style="11" customWidth="1"/>
    <col min="12" max="13" width="7.7109375" style="11" bestFit="1" customWidth="1"/>
    <col min="14" max="14" width="11.421875" style="11" bestFit="1" customWidth="1"/>
    <col min="15" max="15" width="6.8515625" style="11" customWidth="1"/>
    <col min="16" max="16384" width="9.140625" style="11" customWidth="1"/>
  </cols>
  <sheetData>
    <row r="1" spans="1:11" ht="12.75">
      <c r="A1" s="1" t="s">
        <v>133</v>
      </c>
      <c r="B1" s="65" t="s">
        <v>184</v>
      </c>
      <c r="C1" s="74"/>
      <c r="D1" s="74"/>
      <c r="E1" s="74"/>
      <c r="F1" s="74"/>
      <c r="G1" s="74"/>
      <c r="H1" s="31"/>
      <c r="I1" s="31"/>
      <c r="J1" s="31"/>
      <c r="K1" s="31"/>
    </row>
    <row r="2" spans="2:11" ht="12.75">
      <c r="B2" s="74"/>
      <c r="C2" s="74"/>
      <c r="D2" s="74"/>
      <c r="E2" s="74"/>
      <c r="F2" s="74"/>
      <c r="G2" s="74"/>
      <c r="H2" s="31"/>
      <c r="I2" s="31"/>
      <c r="J2" s="31"/>
      <c r="K2" s="31"/>
    </row>
    <row r="3" spans="2:11" ht="12.75">
      <c r="B3" s="74"/>
      <c r="C3" s="74"/>
      <c r="D3" s="74"/>
      <c r="E3" s="74"/>
      <c r="F3" s="74"/>
      <c r="G3" s="74"/>
      <c r="H3" s="31"/>
      <c r="I3" s="31"/>
      <c r="J3" s="31"/>
      <c r="K3" s="31"/>
    </row>
    <row r="4" spans="2:11" ht="12.75">
      <c r="B4" s="74"/>
      <c r="C4" s="74"/>
      <c r="D4" s="74"/>
      <c r="E4" s="74"/>
      <c r="F4" s="74"/>
      <c r="G4" s="74"/>
      <c r="H4" s="31"/>
      <c r="I4" s="31"/>
      <c r="J4" s="31"/>
      <c r="K4" s="31"/>
    </row>
    <row r="5" spans="2:11" ht="12.75">
      <c r="B5" s="74"/>
      <c r="C5" s="74"/>
      <c r="D5" s="74"/>
      <c r="E5" s="74"/>
      <c r="F5" s="74"/>
      <c r="G5" s="74"/>
      <c r="H5" s="31"/>
      <c r="I5" s="31"/>
      <c r="J5" s="31"/>
      <c r="K5" s="31"/>
    </row>
    <row r="6" spans="2:11" ht="12.75">
      <c r="B6" s="74"/>
      <c r="C6" s="74"/>
      <c r="D6" s="74"/>
      <c r="E6" s="74"/>
      <c r="F6" s="74"/>
      <c r="G6" s="74"/>
      <c r="H6" s="31"/>
      <c r="I6" s="31"/>
      <c r="J6" s="31"/>
      <c r="K6" s="31"/>
    </row>
    <row r="7" spans="2:11" ht="12.75">
      <c r="B7" s="74"/>
      <c r="C7" s="74"/>
      <c r="D7" s="74"/>
      <c r="E7" s="74"/>
      <c r="F7" s="74"/>
      <c r="G7" s="74"/>
      <c r="H7" s="31"/>
      <c r="I7" s="31"/>
      <c r="J7" s="31"/>
      <c r="K7" s="31"/>
    </row>
    <row r="8" spans="2:11" ht="12.75">
      <c r="B8" s="22" t="s">
        <v>159</v>
      </c>
      <c r="C8" s="22" t="s">
        <v>73</v>
      </c>
      <c r="D8" s="22" t="s">
        <v>74</v>
      </c>
      <c r="E8" s="15"/>
      <c r="F8" s="15"/>
      <c r="G8" s="15"/>
      <c r="H8" s="29"/>
      <c r="I8" s="29"/>
      <c r="J8" s="29"/>
      <c r="K8" s="29"/>
    </row>
    <row r="9" spans="2:4" ht="12.75">
      <c r="B9" s="13">
        <v>1</v>
      </c>
      <c r="C9" s="13">
        <v>11000</v>
      </c>
      <c r="D9" s="13">
        <v>62</v>
      </c>
    </row>
    <row r="10" spans="2:4" ht="12.75">
      <c r="B10" s="13">
        <v>2</v>
      </c>
      <c r="C10" s="13">
        <v>56</v>
      </c>
      <c r="D10" s="13">
        <v>1450</v>
      </c>
    </row>
    <row r="11" spans="2:4" ht="12.75">
      <c r="B11" s="13">
        <v>3</v>
      </c>
      <c r="C11" s="13">
        <v>785</v>
      </c>
      <c r="D11" s="13">
        <v>185</v>
      </c>
    </row>
    <row r="12" spans="2:4" ht="12.75">
      <c r="B12" s="13">
        <v>4</v>
      </c>
      <c r="C12" s="13">
        <v>195000</v>
      </c>
      <c r="D12" s="13">
        <v>7</v>
      </c>
    </row>
    <row r="13" spans="2:4" ht="12.75">
      <c r="B13" s="13">
        <v>5</v>
      </c>
      <c r="C13" s="13">
        <v>386</v>
      </c>
      <c r="D13" s="13">
        <v>245</v>
      </c>
    </row>
    <row r="14" spans="2:4" ht="12.75">
      <c r="B14" s="13">
        <v>6</v>
      </c>
      <c r="C14" s="13">
        <v>38</v>
      </c>
      <c r="D14" s="13">
        <v>13800</v>
      </c>
    </row>
    <row r="15" spans="2:4" ht="12.75">
      <c r="B15" s="13">
        <v>7</v>
      </c>
      <c r="C15" s="13">
        <v>6400</v>
      </c>
      <c r="D15" s="13">
        <v>655</v>
      </c>
    </row>
    <row r="16" spans="2:4" ht="12.75">
      <c r="B16" s="13">
        <v>8</v>
      </c>
      <c r="C16" s="13">
        <v>1350</v>
      </c>
      <c r="D16" s="13">
        <v>2350</v>
      </c>
    </row>
    <row r="17" spans="2:4" ht="12.75">
      <c r="B17" s="13">
        <v>9</v>
      </c>
      <c r="C17" s="13">
        <v>2350</v>
      </c>
      <c r="D17" s="13">
        <v>895</v>
      </c>
    </row>
    <row r="18" spans="2:4" ht="12.75">
      <c r="B18" s="13">
        <v>10</v>
      </c>
      <c r="C18" s="13">
        <v>452000</v>
      </c>
      <c r="D18" s="13">
        <v>2</v>
      </c>
    </row>
    <row r="19" ht="12.75"/>
    <row r="20" spans="1:2" ht="12.75">
      <c r="A20" s="1" t="s">
        <v>0</v>
      </c>
      <c r="B20" s="10" t="s">
        <v>10</v>
      </c>
    </row>
    <row r="21" spans="1:4" ht="15.75">
      <c r="A21" s="12" t="s">
        <v>3</v>
      </c>
      <c r="B21" s="33">
        <v>0.19</v>
      </c>
      <c r="C21" s="12" t="s">
        <v>12</v>
      </c>
      <c r="D21" s="14" t="s">
        <v>16</v>
      </c>
    </row>
    <row r="22" spans="1:4" ht="15.75">
      <c r="A22" s="12" t="s">
        <v>8</v>
      </c>
      <c r="B22" s="13">
        <v>12</v>
      </c>
      <c r="C22" s="12" t="s">
        <v>9</v>
      </c>
      <c r="D22" s="14" t="s">
        <v>18</v>
      </c>
    </row>
    <row r="23" spans="1:4" ht="15.75">
      <c r="A23" s="12" t="s">
        <v>101</v>
      </c>
      <c r="B23" s="13">
        <v>1000</v>
      </c>
      <c r="C23" s="12" t="s">
        <v>25</v>
      </c>
      <c r="D23" s="14" t="s">
        <v>187</v>
      </c>
    </row>
    <row r="24" spans="1:4" ht="15.75">
      <c r="A24" s="12" t="s">
        <v>102</v>
      </c>
      <c r="B24" s="13">
        <v>25</v>
      </c>
      <c r="C24" s="12" t="s">
        <v>103</v>
      </c>
      <c r="D24" s="14" t="s">
        <v>188</v>
      </c>
    </row>
    <row r="25" spans="1:4" ht="12.75">
      <c r="A25" s="12" t="s">
        <v>185</v>
      </c>
      <c r="B25" s="13">
        <v>10</v>
      </c>
      <c r="C25" s="12" t="s">
        <v>186</v>
      </c>
      <c r="D25" s="14" t="s">
        <v>189</v>
      </c>
    </row>
    <row r="26" spans="1:4" ht="12.75">
      <c r="A26" s="12" t="s">
        <v>177</v>
      </c>
      <c r="B26" s="13">
        <v>0.01</v>
      </c>
      <c r="C26" s="12" t="s">
        <v>180</v>
      </c>
      <c r="D26" s="14" t="s">
        <v>181</v>
      </c>
    </row>
    <row r="27" ht="12.75"/>
    <row r="28" spans="1:2" ht="15.75">
      <c r="A28" s="1" t="s">
        <v>11</v>
      </c>
      <c r="B28" s="10" t="s">
        <v>22</v>
      </c>
    </row>
    <row r="29" spans="1:15" ht="15.75">
      <c r="A29" s="12" t="s">
        <v>3</v>
      </c>
      <c r="B29" s="13">
        <f>IF(C22="měsíc",B21/12,B21)</f>
        <v>0.015833333333333335</v>
      </c>
      <c r="C29" s="12" t="s">
        <v>190</v>
      </c>
      <c r="N29" s="32"/>
      <c r="O29" s="18"/>
    </row>
    <row r="30" spans="14:15" ht="12.75">
      <c r="N30" s="32"/>
      <c r="O30" s="32"/>
    </row>
    <row r="31" spans="1:2" ht="15.75">
      <c r="A31" s="1" t="s">
        <v>13</v>
      </c>
      <c r="B31" s="10" t="s">
        <v>23</v>
      </c>
    </row>
    <row r="32" spans="4:13" ht="13.5" thickBot="1">
      <c r="D32" s="78" t="s">
        <v>95</v>
      </c>
      <c r="E32" s="78"/>
      <c r="F32" s="78"/>
      <c r="G32" s="78"/>
      <c r="H32" s="71" t="s">
        <v>100</v>
      </c>
      <c r="I32" s="71"/>
      <c r="K32" s="75" t="s">
        <v>96</v>
      </c>
      <c r="L32" s="76"/>
      <c r="M32" s="76"/>
    </row>
    <row r="33" spans="1:13" ht="16.5" thickTop="1">
      <c r="A33" s="22" t="s">
        <v>159</v>
      </c>
      <c r="B33" s="22" t="s">
        <v>73</v>
      </c>
      <c r="C33" s="40" t="s">
        <v>74</v>
      </c>
      <c r="D33" s="41" t="s">
        <v>162</v>
      </c>
      <c r="E33" s="42" t="s">
        <v>163</v>
      </c>
      <c r="F33" s="42" t="s">
        <v>75</v>
      </c>
      <c r="G33" s="43" t="s">
        <v>164</v>
      </c>
      <c r="H33" s="41" t="s">
        <v>98</v>
      </c>
      <c r="I33" s="44" t="s">
        <v>61</v>
      </c>
      <c r="K33" s="45" t="s">
        <v>39</v>
      </c>
      <c r="L33" s="20">
        <f>ROUND(SQRT(2*B22*(B23+B25*B24)*H44),0)</f>
        <v>79375</v>
      </c>
      <c r="M33" s="12" t="s">
        <v>25</v>
      </c>
    </row>
    <row r="34" spans="1:13" ht="12.75">
      <c r="A34" s="13">
        <v>1</v>
      </c>
      <c r="B34" s="13">
        <v>11000</v>
      </c>
      <c r="C34" s="35">
        <v>62</v>
      </c>
      <c r="D34" s="46">
        <f aca="true" t="shared" si="0" ref="D34:D43">ROUND(SQRT((2*B34*($B$23+$B$24))/($B$22*C34*$B$29)),0)</f>
        <v>1384</v>
      </c>
      <c r="E34" s="13">
        <f aca="true" t="shared" si="1" ref="E34:E43">ROUND(D34/2*$B$22*C34*$B$29+B34/D34*($B$23+$B$24),0)</f>
        <v>16298</v>
      </c>
      <c r="F34" s="13">
        <f>ROUND(B34/D34,0)</f>
        <v>8</v>
      </c>
      <c r="G34" s="13">
        <f>ROUND($B$22/F34*30,0)</f>
        <v>45</v>
      </c>
      <c r="H34" s="47">
        <f>B34*C34*$B$29</f>
        <v>10798.333333333334</v>
      </c>
      <c r="I34" s="48">
        <f aca="true" t="shared" si="2" ref="I34:I43">ROUND(B34/$L$35,0)</f>
        <v>346</v>
      </c>
      <c r="K34" s="45" t="s">
        <v>97</v>
      </c>
      <c r="L34" s="20">
        <f>SQRT(2*B22*(B23+B25*B24)/H44)*30</f>
        <v>11.338512265989063</v>
      </c>
      <c r="M34" s="12" t="s">
        <v>27</v>
      </c>
    </row>
    <row r="35" spans="1:13" ht="12.75">
      <c r="A35" s="13">
        <v>2</v>
      </c>
      <c r="B35" s="13">
        <v>56</v>
      </c>
      <c r="C35" s="35">
        <v>1450</v>
      </c>
      <c r="D35" s="46">
        <f t="shared" si="0"/>
        <v>20</v>
      </c>
      <c r="E35" s="13">
        <f t="shared" si="1"/>
        <v>5625</v>
      </c>
      <c r="F35" s="13">
        <f aca="true" t="shared" si="3" ref="F35:F43">ROUND(B35/D35,0)</f>
        <v>3</v>
      </c>
      <c r="G35" s="13">
        <f aca="true" t="shared" si="4" ref="G35:G43">ROUND($B$22/F35*30,0)</f>
        <v>120</v>
      </c>
      <c r="H35" s="47">
        <f aca="true" t="shared" si="5" ref="H35:H43">B35*C35*$B$29</f>
        <v>1285.6666666666667</v>
      </c>
      <c r="I35" s="48">
        <f t="shared" si="2"/>
        <v>2</v>
      </c>
      <c r="K35" s="45" t="s">
        <v>82</v>
      </c>
      <c r="L35" s="20">
        <f>B22*30/L34</f>
        <v>31.750197164742147</v>
      </c>
      <c r="M35" s="12" t="s">
        <v>99</v>
      </c>
    </row>
    <row r="36" spans="1:9" ht="12.75">
      <c r="A36" s="13">
        <v>3</v>
      </c>
      <c r="B36" s="13">
        <v>785</v>
      </c>
      <c r="C36" s="35">
        <v>185</v>
      </c>
      <c r="D36" s="46">
        <f t="shared" si="0"/>
        <v>214</v>
      </c>
      <c r="E36" s="13">
        <f t="shared" si="1"/>
        <v>7521</v>
      </c>
      <c r="F36" s="13">
        <f t="shared" si="3"/>
        <v>4</v>
      </c>
      <c r="G36" s="13">
        <f t="shared" si="4"/>
        <v>90</v>
      </c>
      <c r="H36" s="47">
        <f t="shared" si="5"/>
        <v>2299.3958333333335</v>
      </c>
      <c r="I36" s="48">
        <f t="shared" si="2"/>
        <v>25</v>
      </c>
    </row>
    <row r="37" spans="1:9" ht="12.75">
      <c r="A37" s="13">
        <v>4</v>
      </c>
      <c r="B37" s="13">
        <v>195000</v>
      </c>
      <c r="C37" s="35">
        <v>7</v>
      </c>
      <c r="D37" s="46">
        <f t="shared" si="0"/>
        <v>17337</v>
      </c>
      <c r="E37" s="13">
        <f t="shared" si="1"/>
        <v>23058</v>
      </c>
      <c r="F37" s="13">
        <f t="shared" si="3"/>
        <v>11</v>
      </c>
      <c r="G37" s="13">
        <f t="shared" si="4"/>
        <v>33</v>
      </c>
      <c r="H37" s="47">
        <f t="shared" si="5"/>
        <v>21612.500000000004</v>
      </c>
      <c r="I37" s="48">
        <f t="shared" si="2"/>
        <v>6142</v>
      </c>
    </row>
    <row r="38" spans="1:9" ht="12.75">
      <c r="A38" s="13">
        <v>5</v>
      </c>
      <c r="B38" s="13">
        <v>386</v>
      </c>
      <c r="C38" s="35">
        <v>245</v>
      </c>
      <c r="D38" s="46">
        <f t="shared" si="0"/>
        <v>130</v>
      </c>
      <c r="E38" s="13">
        <f t="shared" si="1"/>
        <v>6069</v>
      </c>
      <c r="F38" s="13">
        <f t="shared" si="3"/>
        <v>3</v>
      </c>
      <c r="G38" s="13">
        <f t="shared" si="4"/>
        <v>120</v>
      </c>
      <c r="H38" s="47">
        <f t="shared" si="5"/>
        <v>1497.3583333333333</v>
      </c>
      <c r="I38" s="48">
        <f t="shared" si="2"/>
        <v>12</v>
      </c>
    </row>
    <row r="39" spans="1:9" ht="12.75">
      <c r="A39" s="13">
        <v>6</v>
      </c>
      <c r="B39" s="13">
        <v>38</v>
      </c>
      <c r="C39" s="35">
        <v>13800</v>
      </c>
      <c r="D39" s="46">
        <f t="shared" si="0"/>
        <v>5</v>
      </c>
      <c r="E39" s="13">
        <f t="shared" si="1"/>
        <v>14345</v>
      </c>
      <c r="F39" s="13">
        <f t="shared" si="3"/>
        <v>8</v>
      </c>
      <c r="G39" s="13">
        <f t="shared" si="4"/>
        <v>45</v>
      </c>
      <c r="H39" s="47">
        <f t="shared" si="5"/>
        <v>8303</v>
      </c>
      <c r="I39" s="48">
        <f t="shared" si="2"/>
        <v>1</v>
      </c>
    </row>
    <row r="40" spans="1:9" ht="12.75">
      <c r="A40" s="13">
        <v>7</v>
      </c>
      <c r="B40" s="13">
        <v>6400</v>
      </c>
      <c r="C40" s="35">
        <v>655</v>
      </c>
      <c r="D40" s="46">
        <f t="shared" si="0"/>
        <v>325</v>
      </c>
      <c r="E40" s="13">
        <f t="shared" si="1"/>
        <v>40408</v>
      </c>
      <c r="F40" s="13">
        <f t="shared" si="3"/>
        <v>20</v>
      </c>
      <c r="G40" s="13">
        <f t="shared" si="4"/>
        <v>18</v>
      </c>
      <c r="H40" s="47">
        <f t="shared" si="5"/>
        <v>66373.33333333334</v>
      </c>
      <c r="I40" s="48">
        <f t="shared" si="2"/>
        <v>202</v>
      </c>
    </row>
    <row r="41" spans="1:9" ht="12.75">
      <c r="A41" s="13">
        <v>8</v>
      </c>
      <c r="B41" s="13">
        <v>1350</v>
      </c>
      <c r="C41" s="35">
        <v>2350</v>
      </c>
      <c r="D41" s="46">
        <f t="shared" si="0"/>
        <v>79</v>
      </c>
      <c r="E41" s="13">
        <f t="shared" si="1"/>
        <v>35153</v>
      </c>
      <c r="F41" s="13">
        <f t="shared" si="3"/>
        <v>17</v>
      </c>
      <c r="G41" s="13">
        <f t="shared" si="4"/>
        <v>21</v>
      </c>
      <c r="H41" s="47">
        <f t="shared" si="5"/>
        <v>50231.25000000001</v>
      </c>
      <c r="I41" s="48">
        <f t="shared" si="2"/>
        <v>43</v>
      </c>
    </row>
    <row r="42" spans="1:9" ht="12.75">
      <c r="A42" s="13">
        <v>9</v>
      </c>
      <c r="B42" s="13">
        <v>2350</v>
      </c>
      <c r="C42" s="35">
        <v>895</v>
      </c>
      <c r="D42" s="46">
        <f t="shared" si="0"/>
        <v>168</v>
      </c>
      <c r="E42" s="13">
        <f t="shared" si="1"/>
        <v>28622</v>
      </c>
      <c r="F42" s="13">
        <f t="shared" si="3"/>
        <v>14</v>
      </c>
      <c r="G42" s="13">
        <f t="shared" si="4"/>
        <v>26</v>
      </c>
      <c r="H42" s="47">
        <f t="shared" si="5"/>
        <v>33301.458333333336</v>
      </c>
      <c r="I42" s="48">
        <f t="shared" si="2"/>
        <v>74</v>
      </c>
    </row>
    <row r="43" spans="1:9" ht="13.5" thickBot="1">
      <c r="A43" s="13">
        <v>10</v>
      </c>
      <c r="B43" s="13">
        <v>452000</v>
      </c>
      <c r="C43" s="35">
        <v>2</v>
      </c>
      <c r="D43" s="56">
        <f t="shared" si="0"/>
        <v>49380</v>
      </c>
      <c r="E43" s="57">
        <f t="shared" si="1"/>
        <v>18765</v>
      </c>
      <c r="F43" s="57">
        <f t="shared" si="3"/>
        <v>9</v>
      </c>
      <c r="G43" s="57">
        <f t="shared" si="4"/>
        <v>40</v>
      </c>
      <c r="H43" s="58">
        <f t="shared" si="5"/>
        <v>14313.333333333334</v>
      </c>
      <c r="I43" s="49">
        <f t="shared" si="2"/>
        <v>14236</v>
      </c>
    </row>
    <row r="44" spans="4:8" ht="13.5" thickTop="1">
      <c r="D44" s="53" t="s">
        <v>76</v>
      </c>
      <c r="E44" s="53">
        <f>SUM(E34:E43)</f>
        <v>195864</v>
      </c>
      <c r="F44" s="53">
        <f>SUM(F34:F43)</f>
        <v>97</v>
      </c>
      <c r="G44" s="30"/>
      <c r="H44" s="55">
        <f>SUM(H34:H43)</f>
        <v>210015.6291666667</v>
      </c>
    </row>
    <row r="46" spans="1:2" ht="12.75">
      <c r="A46" s="1" t="s">
        <v>37</v>
      </c>
      <c r="B46" s="10" t="s">
        <v>174</v>
      </c>
    </row>
    <row r="47" spans="1:3" ht="12.75">
      <c r="A47" s="50" t="s">
        <v>175</v>
      </c>
      <c r="B47" s="22" t="s">
        <v>178</v>
      </c>
      <c r="C47" s="22" t="s">
        <v>179</v>
      </c>
    </row>
    <row r="48" spans="1:3" ht="12.75">
      <c r="A48" s="12" t="s">
        <v>176</v>
      </c>
      <c r="B48" s="20">
        <f>E44</f>
        <v>195864</v>
      </c>
      <c r="C48" s="20">
        <f>L33</f>
        <v>79375</v>
      </c>
    </row>
    <row r="49" spans="1:3" ht="12.75">
      <c r="A49" s="12" t="s">
        <v>177</v>
      </c>
      <c r="B49" s="20">
        <v>0</v>
      </c>
      <c r="C49" s="20">
        <f>H44/B29*B26</f>
        <v>132641.45</v>
      </c>
    </row>
    <row r="50" spans="1:3" ht="12.75">
      <c r="A50" s="51" t="s">
        <v>132</v>
      </c>
      <c r="B50" s="52">
        <f>B49+B48</f>
        <v>195864</v>
      </c>
      <c r="C50" s="52">
        <f>C49+C48</f>
        <v>212016.45</v>
      </c>
    </row>
    <row r="52" spans="1:2" ht="12.75">
      <c r="A52" s="1" t="s">
        <v>45</v>
      </c>
      <c r="B52" s="10" t="s">
        <v>182</v>
      </c>
    </row>
    <row r="53" spans="1:2" ht="12.75">
      <c r="A53" s="10"/>
      <c r="B53" s="10"/>
    </row>
    <row r="54" spans="1:3" ht="12.75">
      <c r="A54" s="79" t="s">
        <v>183</v>
      </c>
      <c r="B54" s="79"/>
      <c r="C54" s="79"/>
    </row>
    <row r="55" spans="1:3" ht="12.75">
      <c r="A55" s="79" t="str">
        <f>IF(C50&lt;B50,"ANO","NE")</f>
        <v>NE</v>
      </c>
      <c r="B55" s="79"/>
      <c r="C55" s="79"/>
    </row>
  </sheetData>
  <mergeCells count="6">
    <mergeCell ref="B1:G7"/>
    <mergeCell ref="A54:C54"/>
    <mergeCell ref="A55:C55"/>
    <mergeCell ref="K32:M32"/>
    <mergeCell ref="D32:G32"/>
    <mergeCell ref="H32:I32"/>
  </mergeCells>
  <printOptions/>
  <pageMargins left="0.75" right="0.75" top="1" bottom="1" header="0.4921259845" footer="0.4921259845"/>
  <pageSetup horizontalDpi="1200" verticalDpi="12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J37"/>
  <sheetViews>
    <sheetView workbookViewId="0" topLeftCell="A1">
      <selection activeCell="A1" sqref="A1"/>
    </sheetView>
  </sheetViews>
  <sheetFormatPr defaultColWidth="9.140625" defaultRowHeight="12.75"/>
  <cols>
    <col min="1" max="1" width="9.421875" style="11" bestFit="1" customWidth="1"/>
    <col min="2" max="2" width="9.421875" style="11" customWidth="1"/>
    <col min="3" max="3" width="11.8515625" style="11" bestFit="1" customWidth="1"/>
    <col min="4" max="4" width="33.421875" style="11" customWidth="1"/>
    <col min="5" max="16384" width="9.140625" style="11" customWidth="1"/>
  </cols>
  <sheetData>
    <row r="1" spans="1:10" ht="12.75">
      <c r="A1" s="1" t="s">
        <v>133</v>
      </c>
      <c r="B1" s="64" t="s">
        <v>191</v>
      </c>
      <c r="C1" s="64"/>
      <c r="D1" s="64"/>
      <c r="E1" s="64"/>
      <c r="F1" s="64"/>
      <c r="G1" s="64"/>
      <c r="H1" s="64"/>
      <c r="I1" s="64"/>
      <c r="J1" s="64"/>
    </row>
    <row r="2" spans="2:10" ht="12.75">
      <c r="B2" s="64"/>
      <c r="C2" s="64"/>
      <c r="D2" s="64"/>
      <c r="E2" s="64"/>
      <c r="F2" s="64"/>
      <c r="G2" s="64"/>
      <c r="H2" s="64"/>
      <c r="I2" s="64"/>
      <c r="J2" s="64"/>
    </row>
    <row r="3" spans="2:10" ht="12.75">
      <c r="B3" s="64"/>
      <c r="C3" s="64"/>
      <c r="D3" s="64"/>
      <c r="E3" s="64"/>
      <c r="F3" s="64"/>
      <c r="G3" s="64"/>
      <c r="H3" s="64"/>
      <c r="I3" s="64"/>
      <c r="J3" s="64"/>
    </row>
    <row r="4" ht="12.75"/>
    <row r="5" spans="2:4" ht="12.75">
      <c r="B5" s="22" t="s">
        <v>159</v>
      </c>
      <c r="C5" s="22" t="s">
        <v>73</v>
      </c>
      <c r="D5" s="22" t="s">
        <v>74</v>
      </c>
    </row>
    <row r="6" spans="2:4" ht="12.75">
      <c r="B6" s="13">
        <v>1</v>
      </c>
      <c r="C6" s="13">
        <v>11000</v>
      </c>
      <c r="D6" s="13">
        <v>62</v>
      </c>
    </row>
    <row r="7" spans="2:4" ht="12.75">
      <c r="B7" s="13">
        <v>2</v>
      </c>
      <c r="C7" s="13">
        <v>56</v>
      </c>
      <c r="D7" s="13">
        <v>1450</v>
      </c>
    </row>
    <row r="8" spans="2:4" ht="12.75">
      <c r="B8" s="13">
        <v>3</v>
      </c>
      <c r="C8" s="13">
        <v>785</v>
      </c>
      <c r="D8" s="13">
        <v>185</v>
      </c>
    </row>
    <row r="9" spans="2:4" ht="12.75">
      <c r="B9" s="13">
        <v>4</v>
      </c>
      <c r="C9" s="13">
        <v>195000</v>
      </c>
      <c r="D9" s="13">
        <v>7</v>
      </c>
    </row>
    <row r="10" spans="2:4" ht="12.75">
      <c r="B10" s="13">
        <v>5</v>
      </c>
      <c r="C10" s="13">
        <v>386</v>
      </c>
      <c r="D10" s="13">
        <v>245</v>
      </c>
    </row>
    <row r="11" spans="2:4" ht="12.75">
      <c r="B11" s="13">
        <v>6</v>
      </c>
      <c r="C11" s="13">
        <v>38</v>
      </c>
      <c r="D11" s="13">
        <v>13800</v>
      </c>
    </row>
    <row r="12" spans="2:4" ht="12.75">
      <c r="B12" s="13">
        <v>7</v>
      </c>
      <c r="C12" s="13">
        <v>6400</v>
      </c>
      <c r="D12" s="13">
        <v>655</v>
      </c>
    </row>
    <row r="13" spans="2:4" ht="12.75">
      <c r="B13" s="13">
        <v>8</v>
      </c>
      <c r="C13" s="13">
        <v>1350</v>
      </c>
      <c r="D13" s="13">
        <v>2350</v>
      </c>
    </row>
    <row r="14" spans="2:4" ht="12.75">
      <c r="B14" s="13">
        <v>9</v>
      </c>
      <c r="C14" s="13">
        <v>2350</v>
      </c>
      <c r="D14" s="13">
        <v>895</v>
      </c>
    </row>
    <row r="15" spans="2:4" ht="12.75">
      <c r="B15" s="13">
        <v>10</v>
      </c>
      <c r="C15" s="13">
        <v>452000</v>
      </c>
      <c r="D15" s="13">
        <v>2</v>
      </c>
    </row>
    <row r="16" ht="12.75"/>
    <row r="17" spans="1:2" ht="12.75">
      <c r="A17" s="1" t="s">
        <v>0</v>
      </c>
      <c r="B17" s="10" t="s">
        <v>10</v>
      </c>
    </row>
    <row r="18" spans="1:4" ht="15.75">
      <c r="A18" s="12" t="s">
        <v>8</v>
      </c>
      <c r="B18" s="13">
        <v>1</v>
      </c>
      <c r="C18" s="12" t="s">
        <v>104</v>
      </c>
      <c r="D18" s="14" t="s">
        <v>18</v>
      </c>
    </row>
    <row r="19" spans="1:4" ht="12.75">
      <c r="A19" s="12" t="s">
        <v>78</v>
      </c>
      <c r="B19" s="13">
        <v>400000</v>
      </c>
      <c r="C19" s="12" t="s">
        <v>25</v>
      </c>
      <c r="D19" s="14" t="s">
        <v>79</v>
      </c>
    </row>
    <row r="20" spans="1:4" ht="12.75">
      <c r="A20" s="12" t="s">
        <v>82</v>
      </c>
      <c r="B20" s="13">
        <v>70</v>
      </c>
      <c r="C20" s="12" t="s">
        <v>84</v>
      </c>
      <c r="D20" s="14" t="s">
        <v>83</v>
      </c>
    </row>
    <row r="21" ht="12.75"/>
    <row r="22" spans="1:2" ht="15.75">
      <c r="A22" s="1" t="s">
        <v>11</v>
      </c>
      <c r="B22" s="10" t="s">
        <v>130</v>
      </c>
    </row>
    <row r="23" spans="1:2" ht="12.75">
      <c r="A23" s="10"/>
      <c r="B23" s="10"/>
    </row>
    <row r="24" spans="1:5" ht="12.75">
      <c r="A24" s="8" t="s">
        <v>80</v>
      </c>
      <c r="B24" s="61">
        <f>D37^2/(2*(B19^2))</f>
        <v>0.00030761416601955986</v>
      </c>
      <c r="D24" s="24" t="s">
        <v>86</v>
      </c>
      <c r="E24" s="24">
        <f>D37^2/(2*(B20^2))</f>
        <v>10044.544196557057</v>
      </c>
    </row>
    <row r="25" ht="12.75"/>
    <row r="26" spans="1:7" ht="12.75">
      <c r="A26" s="22" t="s">
        <v>159</v>
      </c>
      <c r="B26" s="40" t="s">
        <v>73</v>
      </c>
      <c r="C26" s="22" t="s">
        <v>74</v>
      </c>
      <c r="D26" s="22" t="s">
        <v>81</v>
      </c>
      <c r="E26" s="8" t="s">
        <v>131</v>
      </c>
      <c r="F26" s="24" t="s">
        <v>131</v>
      </c>
      <c r="G26" s="60"/>
    </row>
    <row r="27" spans="1:7" ht="12.75">
      <c r="A27" s="13">
        <v>1</v>
      </c>
      <c r="B27" s="35">
        <v>11000</v>
      </c>
      <c r="C27" s="13">
        <v>62</v>
      </c>
      <c r="D27" s="36">
        <f>SQRT(B27*C27)</f>
        <v>825.8329128825031</v>
      </c>
      <c r="E27" s="9">
        <f>SQRT(2*B27/(C27*$B$24))</f>
        <v>1074.0199041814617</v>
      </c>
      <c r="F27" s="62">
        <f>SQRT(2*B27*$E$24/C27)</f>
        <v>1887.9070692182167</v>
      </c>
      <c r="G27" s="30"/>
    </row>
    <row r="28" spans="1:7" ht="12.75">
      <c r="A28" s="13">
        <v>2</v>
      </c>
      <c r="B28" s="35">
        <v>56</v>
      </c>
      <c r="C28" s="13">
        <v>1450</v>
      </c>
      <c r="D28" s="36">
        <f aca="true" t="shared" si="0" ref="D28:D36">SQRT(B28*C28)</f>
        <v>284.95613697550016</v>
      </c>
      <c r="E28" s="9">
        <f aca="true" t="shared" si="1" ref="E28:E36">SQRT(2*B28/(C28*$B$24))</f>
        <v>15.846080013057795</v>
      </c>
      <c r="F28" s="62">
        <f aca="true" t="shared" si="2" ref="F28:F36">SQRT(2*B28*$E$24/C28)</f>
        <v>27.85416393083423</v>
      </c>
      <c r="G28" s="30"/>
    </row>
    <row r="29" spans="1:7" ht="12.75">
      <c r="A29" s="13">
        <v>3</v>
      </c>
      <c r="B29" s="35">
        <v>785</v>
      </c>
      <c r="C29" s="13">
        <v>185</v>
      </c>
      <c r="D29" s="36">
        <f t="shared" si="0"/>
        <v>381.08398024582453</v>
      </c>
      <c r="E29" s="9">
        <f t="shared" si="1"/>
        <v>166.096620567031</v>
      </c>
      <c r="F29" s="62">
        <f t="shared" si="2"/>
        <v>291.9638480822544</v>
      </c>
      <c r="G29" s="30"/>
    </row>
    <row r="30" spans="1:7" ht="12.75">
      <c r="A30" s="13">
        <v>4</v>
      </c>
      <c r="B30" s="35">
        <v>195000</v>
      </c>
      <c r="C30" s="13">
        <v>7</v>
      </c>
      <c r="D30" s="36">
        <f t="shared" si="0"/>
        <v>1168.3321445547922</v>
      </c>
      <c r="E30" s="9">
        <f t="shared" si="1"/>
        <v>13457.987413866369</v>
      </c>
      <c r="F30" s="62">
        <f t="shared" si="2"/>
        <v>23656.386140675637</v>
      </c>
      <c r="G30" s="30"/>
    </row>
    <row r="31" spans="1:7" ht="12.75">
      <c r="A31" s="13">
        <v>5</v>
      </c>
      <c r="B31" s="35">
        <v>386</v>
      </c>
      <c r="C31" s="13">
        <v>245</v>
      </c>
      <c r="D31" s="36">
        <f t="shared" si="0"/>
        <v>307.52235691084314</v>
      </c>
      <c r="E31" s="9">
        <f t="shared" si="1"/>
        <v>101.20977101729251</v>
      </c>
      <c r="F31" s="62">
        <f t="shared" si="2"/>
        <v>177.90605316865748</v>
      </c>
      <c r="G31" s="30"/>
    </row>
    <row r="32" spans="1:7" ht="12.75">
      <c r="A32" s="13">
        <v>6</v>
      </c>
      <c r="B32" s="35">
        <v>38</v>
      </c>
      <c r="C32" s="13">
        <v>13800</v>
      </c>
      <c r="D32" s="36">
        <f t="shared" si="0"/>
        <v>724.1546796092669</v>
      </c>
      <c r="E32" s="9">
        <f t="shared" si="1"/>
        <v>4.231205195103119</v>
      </c>
      <c r="F32" s="62">
        <f t="shared" si="2"/>
        <v>7.437592327710143</v>
      </c>
      <c r="G32" s="30"/>
    </row>
    <row r="33" spans="1:7" ht="12.75">
      <c r="A33" s="13">
        <v>7</v>
      </c>
      <c r="B33" s="35">
        <v>6400</v>
      </c>
      <c r="C33" s="13">
        <v>655</v>
      </c>
      <c r="D33" s="36">
        <f t="shared" si="0"/>
        <v>2047.4374227311564</v>
      </c>
      <c r="E33" s="9">
        <f t="shared" si="1"/>
        <v>252.04678905831264</v>
      </c>
      <c r="F33" s="62">
        <f t="shared" si="2"/>
        <v>443.0466446518901</v>
      </c>
      <c r="G33" s="30"/>
    </row>
    <row r="34" spans="1:7" ht="12.75">
      <c r="A34" s="13">
        <v>8</v>
      </c>
      <c r="B34" s="35">
        <v>1350</v>
      </c>
      <c r="C34" s="13">
        <v>2350</v>
      </c>
      <c r="D34" s="36">
        <f t="shared" si="0"/>
        <v>1781.1513130556875</v>
      </c>
      <c r="E34" s="9">
        <f t="shared" si="1"/>
        <v>61.11457349241318</v>
      </c>
      <c r="F34" s="62">
        <f t="shared" si="2"/>
        <v>107.42690603719875</v>
      </c>
      <c r="G34" s="30"/>
    </row>
    <row r="35" spans="1:7" ht="12.75">
      <c r="A35" s="13">
        <v>9</v>
      </c>
      <c r="B35" s="35">
        <v>2350</v>
      </c>
      <c r="C35" s="13">
        <v>895</v>
      </c>
      <c r="D35" s="36">
        <f t="shared" si="0"/>
        <v>1450.2585976300916</v>
      </c>
      <c r="E35" s="9">
        <f t="shared" si="1"/>
        <v>130.65747035619106</v>
      </c>
      <c r="F35" s="62">
        <f t="shared" si="2"/>
        <v>229.6690787305433</v>
      </c>
      <c r="G35" s="30"/>
    </row>
    <row r="36" spans="1:7" ht="12.75">
      <c r="A36" s="13">
        <v>10</v>
      </c>
      <c r="B36" s="35">
        <v>452000</v>
      </c>
      <c r="C36" s="13">
        <v>2</v>
      </c>
      <c r="D36" s="36">
        <f t="shared" si="0"/>
        <v>950.789145920377</v>
      </c>
      <c r="E36" s="9">
        <f t="shared" si="1"/>
        <v>38332.40355951692</v>
      </c>
      <c r="F36" s="62">
        <f t="shared" si="2"/>
        <v>67380.51629992004</v>
      </c>
      <c r="G36" s="30"/>
    </row>
    <row r="37" spans="3:7" ht="12.75">
      <c r="C37" s="22" t="s">
        <v>132</v>
      </c>
      <c r="D37" s="36">
        <f>SUM(D27:D36)</f>
        <v>9921.518690516043</v>
      </c>
      <c r="E37" s="60"/>
      <c r="F37" s="60"/>
      <c r="G37" s="60"/>
    </row>
  </sheetData>
  <mergeCells count="1">
    <mergeCell ref="B1:J3"/>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J69"/>
  <sheetViews>
    <sheetView workbookViewId="0" topLeftCell="A1">
      <selection activeCell="A1" sqref="A1"/>
    </sheetView>
  </sheetViews>
  <sheetFormatPr defaultColWidth="9.140625" defaultRowHeight="12.75"/>
  <cols>
    <col min="1" max="1" width="9.421875" style="11" bestFit="1" customWidth="1"/>
    <col min="2" max="2" width="9.7109375" style="11" customWidth="1"/>
    <col min="3" max="3" width="24.28125" style="11" customWidth="1"/>
    <col min="4" max="4" width="16.8515625" style="11" customWidth="1"/>
    <col min="5" max="6" width="9.140625" style="11" customWidth="1"/>
    <col min="7" max="7" width="12.421875" style="11" bestFit="1" customWidth="1"/>
    <col min="8" max="9" width="9.140625" style="11" customWidth="1"/>
    <col min="10" max="10" width="9.00390625" style="11" bestFit="1" customWidth="1"/>
    <col min="11" max="16384" width="9.140625" style="11" customWidth="1"/>
  </cols>
  <sheetData>
    <row r="1" spans="1:9" ht="12.75">
      <c r="A1" s="1" t="s">
        <v>133</v>
      </c>
      <c r="B1" s="65" t="s">
        <v>192</v>
      </c>
      <c r="C1" s="65"/>
      <c r="D1" s="65"/>
      <c r="E1" s="65"/>
      <c r="F1" s="65"/>
      <c r="G1" s="65"/>
      <c r="H1" s="65"/>
      <c r="I1" s="65"/>
    </row>
    <row r="2" spans="2:9" ht="12.75">
      <c r="B2" s="65"/>
      <c r="C2" s="65"/>
      <c r="D2" s="65"/>
      <c r="E2" s="65"/>
      <c r="F2" s="65"/>
      <c r="G2" s="65"/>
      <c r="H2" s="65"/>
      <c r="I2" s="65"/>
    </row>
    <row r="3" spans="2:9" ht="12.75">
      <c r="B3" s="65"/>
      <c r="C3" s="65"/>
      <c r="D3" s="65"/>
      <c r="E3" s="65"/>
      <c r="F3" s="65"/>
      <c r="G3" s="65"/>
      <c r="H3" s="65"/>
      <c r="I3" s="65"/>
    </row>
    <row r="4" spans="2:9" ht="12.75">
      <c r="B4" s="65"/>
      <c r="C4" s="65"/>
      <c r="D4" s="65"/>
      <c r="E4" s="65"/>
      <c r="F4" s="65"/>
      <c r="G4" s="65"/>
      <c r="H4" s="65"/>
      <c r="I4" s="65"/>
    </row>
    <row r="5" spans="2:9" ht="12.75">
      <c r="B5" s="65"/>
      <c r="C5" s="65"/>
      <c r="D5" s="65"/>
      <c r="E5" s="65"/>
      <c r="F5" s="65"/>
      <c r="G5" s="65"/>
      <c r="H5" s="65"/>
      <c r="I5" s="65"/>
    </row>
    <row r="6" spans="2:9" ht="12.75">
      <c r="B6" s="65"/>
      <c r="C6" s="65"/>
      <c r="D6" s="65"/>
      <c r="E6" s="65"/>
      <c r="F6" s="65"/>
      <c r="G6" s="65"/>
      <c r="H6" s="65"/>
      <c r="I6" s="65"/>
    </row>
    <row r="7" spans="2:4" ht="12.75">
      <c r="B7" s="22" t="s">
        <v>159</v>
      </c>
      <c r="C7" s="22" t="s">
        <v>73</v>
      </c>
      <c r="D7" s="22" t="s">
        <v>74</v>
      </c>
    </row>
    <row r="8" spans="2:4" ht="12.75">
      <c r="B8" s="13">
        <v>1</v>
      </c>
      <c r="C8" s="13">
        <v>11000</v>
      </c>
      <c r="D8" s="13">
        <v>62</v>
      </c>
    </row>
    <row r="9" spans="2:4" ht="12.75">
      <c r="B9" s="13">
        <v>2</v>
      </c>
      <c r="C9" s="13">
        <v>56</v>
      </c>
      <c r="D9" s="13">
        <v>1450</v>
      </c>
    </row>
    <row r="10" spans="2:4" ht="12.75">
      <c r="B10" s="13">
        <v>3</v>
      </c>
      <c r="C10" s="13">
        <v>785</v>
      </c>
      <c r="D10" s="13">
        <v>185</v>
      </c>
    </row>
    <row r="11" spans="2:4" ht="12.75">
      <c r="B11" s="13">
        <v>4</v>
      </c>
      <c r="C11" s="13">
        <v>195000</v>
      </c>
      <c r="D11" s="13">
        <v>7</v>
      </c>
    </row>
    <row r="12" spans="2:4" ht="12.75">
      <c r="B12" s="13">
        <v>5</v>
      </c>
      <c r="C12" s="13">
        <v>386</v>
      </c>
      <c r="D12" s="13">
        <v>245</v>
      </c>
    </row>
    <row r="13" spans="2:4" ht="12.75">
      <c r="B13" s="13">
        <v>6</v>
      </c>
      <c r="C13" s="13">
        <v>38</v>
      </c>
      <c r="D13" s="13">
        <v>13800</v>
      </c>
    </row>
    <row r="14" spans="2:4" ht="12.75">
      <c r="B14" s="13">
        <v>7</v>
      </c>
      <c r="C14" s="13">
        <v>6400</v>
      </c>
      <c r="D14" s="13">
        <v>655</v>
      </c>
    </row>
    <row r="15" spans="2:4" ht="12.75">
      <c r="B15" s="13">
        <v>8</v>
      </c>
      <c r="C15" s="13">
        <v>1350</v>
      </c>
      <c r="D15" s="13">
        <v>2350</v>
      </c>
    </row>
    <row r="16" spans="2:4" ht="12.75">
      <c r="B16" s="13">
        <v>9</v>
      </c>
      <c r="C16" s="13">
        <v>2350</v>
      </c>
      <c r="D16" s="13">
        <v>895</v>
      </c>
    </row>
    <row r="17" spans="2:4" ht="12.75">
      <c r="B17" s="13">
        <v>10</v>
      </c>
      <c r="C17" s="13">
        <v>452000</v>
      </c>
      <c r="D17" s="13">
        <v>2</v>
      </c>
    </row>
    <row r="18" ht="12.75"/>
    <row r="19" ht="12.75"/>
    <row r="20" spans="1:2" ht="12.75">
      <c r="A20" s="1" t="s">
        <v>0</v>
      </c>
      <c r="B20" s="10" t="s">
        <v>10</v>
      </c>
    </row>
    <row r="21" spans="1:3" ht="15.75">
      <c r="A21" s="12" t="s">
        <v>2</v>
      </c>
      <c r="B21" s="13">
        <v>1200</v>
      </c>
      <c r="C21" s="12" t="s">
        <v>6</v>
      </c>
    </row>
    <row r="22" spans="1:3" ht="15.75">
      <c r="A22" s="12" t="s">
        <v>3</v>
      </c>
      <c r="B22" s="33">
        <v>0.19</v>
      </c>
      <c r="C22" s="12" t="s">
        <v>12</v>
      </c>
    </row>
    <row r="23" spans="1:3" ht="12.75">
      <c r="A23" s="12" t="s">
        <v>8</v>
      </c>
      <c r="B23" s="13">
        <v>1</v>
      </c>
      <c r="C23" s="12" t="s">
        <v>104</v>
      </c>
    </row>
    <row r="24" ht="12.75"/>
    <row r="25" spans="1:2" ht="15.75">
      <c r="A25" s="1" t="s">
        <v>11</v>
      </c>
      <c r="B25" s="10" t="s">
        <v>193</v>
      </c>
    </row>
    <row r="26" ht="12.75"/>
    <row r="27" spans="1:10" ht="15.75">
      <c r="A27" s="22" t="s">
        <v>159</v>
      </c>
      <c r="B27" s="22" t="s">
        <v>73</v>
      </c>
      <c r="C27" s="22" t="s">
        <v>74</v>
      </c>
      <c r="D27" s="22" t="s">
        <v>106</v>
      </c>
      <c r="I27" s="22" t="s">
        <v>107</v>
      </c>
      <c r="J27" s="22" t="s">
        <v>108</v>
      </c>
    </row>
    <row r="28" spans="1:10" ht="12.75">
      <c r="A28" s="13">
        <v>1</v>
      </c>
      <c r="B28" s="13">
        <v>11000</v>
      </c>
      <c r="C28" s="13">
        <v>62</v>
      </c>
      <c r="D28" s="13">
        <f>SQRT(B28*C28)</f>
        <v>825.8329128825031</v>
      </c>
      <c r="I28" s="13">
        <v>10</v>
      </c>
      <c r="J28" s="13">
        <f aca="true" t="shared" si="0" ref="J28:J37">ROUND($G$32/I28,0)</f>
        <v>4921827</v>
      </c>
    </row>
    <row r="29" spans="1:10" ht="12.75">
      <c r="A29" s="13">
        <v>2</v>
      </c>
      <c r="B29" s="13">
        <v>56</v>
      </c>
      <c r="C29" s="13">
        <v>1450</v>
      </c>
      <c r="D29" s="13">
        <f aca="true" t="shared" si="1" ref="D29:D37">SQRT(B29*C29)</f>
        <v>284.95613697550016</v>
      </c>
      <c r="I29" s="13">
        <v>50</v>
      </c>
      <c r="J29" s="13">
        <f t="shared" si="0"/>
        <v>984365</v>
      </c>
    </row>
    <row r="30" spans="1:10" ht="12.75">
      <c r="A30" s="13">
        <v>3</v>
      </c>
      <c r="B30" s="13">
        <v>785</v>
      </c>
      <c r="C30" s="13">
        <v>185</v>
      </c>
      <c r="D30" s="13">
        <f t="shared" si="1"/>
        <v>381.08398024582453</v>
      </c>
      <c r="I30" s="13">
        <v>100</v>
      </c>
      <c r="J30" s="13">
        <f t="shared" si="0"/>
        <v>492183</v>
      </c>
    </row>
    <row r="31" spans="1:10" ht="12.75">
      <c r="A31" s="13">
        <v>4</v>
      </c>
      <c r="B31" s="13">
        <v>195000</v>
      </c>
      <c r="C31" s="13">
        <v>7</v>
      </c>
      <c r="D31" s="13">
        <f t="shared" si="1"/>
        <v>1168.3321445547922</v>
      </c>
      <c r="I31" s="13">
        <v>150</v>
      </c>
      <c r="J31" s="13">
        <f t="shared" si="0"/>
        <v>328122</v>
      </c>
    </row>
    <row r="32" spans="1:10" ht="12.75">
      <c r="A32" s="13">
        <v>5</v>
      </c>
      <c r="B32" s="13">
        <v>386</v>
      </c>
      <c r="C32" s="13">
        <v>245</v>
      </c>
      <c r="D32" s="13">
        <f t="shared" si="1"/>
        <v>307.52235691084314</v>
      </c>
      <c r="F32" s="8" t="s">
        <v>105</v>
      </c>
      <c r="G32" s="61">
        <f>(D38^2)*0.5</f>
        <v>49218266.56312958</v>
      </c>
      <c r="I32" s="13">
        <v>200</v>
      </c>
      <c r="J32" s="13">
        <f t="shared" si="0"/>
        <v>246091</v>
      </c>
    </row>
    <row r="33" spans="1:10" ht="12.75">
      <c r="A33" s="13">
        <v>6</v>
      </c>
      <c r="B33" s="13">
        <v>38</v>
      </c>
      <c r="C33" s="13">
        <v>13800</v>
      </c>
      <c r="D33" s="13">
        <f t="shared" si="1"/>
        <v>724.1546796092669</v>
      </c>
      <c r="I33" s="13">
        <v>250</v>
      </c>
      <c r="J33" s="13">
        <f t="shared" si="0"/>
        <v>196873</v>
      </c>
    </row>
    <row r="34" spans="1:10" ht="12.75">
      <c r="A34" s="13">
        <v>7</v>
      </c>
      <c r="B34" s="13">
        <v>6400</v>
      </c>
      <c r="C34" s="13">
        <v>655</v>
      </c>
      <c r="D34" s="13">
        <f t="shared" si="1"/>
        <v>2047.4374227311564</v>
      </c>
      <c r="I34" s="13">
        <v>300</v>
      </c>
      <c r="J34" s="13">
        <f t="shared" si="0"/>
        <v>164061</v>
      </c>
    </row>
    <row r="35" spans="1:10" ht="12.75">
      <c r="A35" s="13">
        <v>8</v>
      </c>
      <c r="B35" s="13">
        <v>1350</v>
      </c>
      <c r="C35" s="13">
        <v>2350</v>
      </c>
      <c r="D35" s="13">
        <f t="shared" si="1"/>
        <v>1781.1513130556875</v>
      </c>
      <c r="I35" s="13">
        <v>350</v>
      </c>
      <c r="J35" s="13">
        <f t="shared" si="0"/>
        <v>140624</v>
      </c>
    </row>
    <row r="36" spans="1:10" ht="12.75">
      <c r="A36" s="13">
        <v>9</v>
      </c>
      <c r="B36" s="13">
        <v>2350</v>
      </c>
      <c r="C36" s="13">
        <v>895</v>
      </c>
      <c r="D36" s="13">
        <f t="shared" si="1"/>
        <v>1450.2585976300916</v>
      </c>
      <c r="I36" s="13">
        <v>400</v>
      </c>
      <c r="J36" s="13">
        <f t="shared" si="0"/>
        <v>123046</v>
      </c>
    </row>
    <row r="37" spans="1:10" ht="12.75">
      <c r="A37" s="13">
        <v>10</v>
      </c>
      <c r="B37" s="13">
        <v>452000</v>
      </c>
      <c r="C37" s="13">
        <v>2</v>
      </c>
      <c r="D37" s="13">
        <f t="shared" si="1"/>
        <v>950.789145920377</v>
      </c>
      <c r="I37" s="13">
        <v>450</v>
      </c>
      <c r="J37" s="13">
        <f t="shared" si="0"/>
        <v>109374</v>
      </c>
    </row>
    <row r="38" spans="3:4" ht="12.75">
      <c r="C38" s="8" t="s">
        <v>76</v>
      </c>
      <c r="D38" s="8">
        <f>SUM(D28:D37)</f>
        <v>9921.518690516043</v>
      </c>
    </row>
    <row r="39" ht="12.75"/>
    <row r="40" ht="12.75"/>
    <row r="41" spans="1:2" ht="15.75">
      <c r="A41" s="1" t="s">
        <v>13</v>
      </c>
      <c r="B41" s="10" t="s">
        <v>194</v>
      </c>
    </row>
    <row r="42" ht="12.75"/>
    <row r="43" spans="2:3" ht="15.75">
      <c r="B43" s="22" t="s">
        <v>108</v>
      </c>
      <c r="C43" s="59">
        <v>400000</v>
      </c>
    </row>
    <row r="44" spans="2:3" ht="15.75">
      <c r="B44" s="22" t="s">
        <v>107</v>
      </c>
      <c r="C44" s="59">
        <f>G32/C43</f>
        <v>123.04566640782396</v>
      </c>
    </row>
    <row r="45" ht="12.75"/>
    <row r="46" ht="12.75"/>
    <row r="47" ht="12.75"/>
    <row r="48" ht="12.75"/>
    <row r="49" ht="12.75"/>
    <row r="50" spans="1:2" ht="12.75">
      <c r="A50" s="1" t="s">
        <v>37</v>
      </c>
      <c r="B50" s="10" t="s">
        <v>109</v>
      </c>
    </row>
    <row r="51" ht="12.75"/>
    <row r="52" spans="2:3" ht="15.75">
      <c r="B52" s="22" t="s">
        <v>195</v>
      </c>
      <c r="C52" s="59">
        <f>SQRT(B21*G32/B22)</f>
        <v>557541.2180927948</v>
      </c>
    </row>
    <row r="53" spans="2:3" ht="15.75">
      <c r="B53" s="22" t="s">
        <v>196</v>
      </c>
      <c r="C53" s="59">
        <f>SQRT(B22*G32/B21)</f>
        <v>88.27735953135918</v>
      </c>
    </row>
    <row r="54" ht="12.75"/>
    <row r="55" spans="1:2" ht="15.75">
      <c r="A55" s="1" t="s">
        <v>45</v>
      </c>
      <c r="B55" s="10" t="s">
        <v>197</v>
      </c>
    </row>
    <row r="56" ht="12.75"/>
    <row r="57" spans="2:3" ht="12.75">
      <c r="B57" s="22" t="s">
        <v>110</v>
      </c>
      <c r="C57" s="22">
        <f>C53/70</f>
        <v>1.261105136162274</v>
      </c>
    </row>
    <row r="58" ht="12.75"/>
    <row r="59" spans="2:4" ht="15.75">
      <c r="B59" s="22" t="s">
        <v>159</v>
      </c>
      <c r="C59" s="22" t="s">
        <v>111</v>
      </c>
      <c r="D59" s="22" t="s">
        <v>112</v>
      </c>
    </row>
    <row r="60" spans="2:4" ht="12.75">
      <c r="B60" s="13">
        <v>1</v>
      </c>
      <c r="C60" s="13">
        <f aca="true" t="shared" si="2" ref="C60:C69">ROUND(SQRT(2*B28*$B$21/($B$23*D8*$B$22)),0)</f>
        <v>1497</v>
      </c>
      <c r="D60" s="13">
        <f>ROUND(C60*$C$57,0)</f>
        <v>1888</v>
      </c>
    </row>
    <row r="61" spans="2:4" ht="12.75">
      <c r="B61" s="13">
        <v>2</v>
      </c>
      <c r="C61" s="13">
        <f t="shared" si="2"/>
        <v>22</v>
      </c>
      <c r="D61" s="13">
        <f aca="true" t="shared" si="3" ref="D61:D69">ROUND(C61*$C$57,0)</f>
        <v>28</v>
      </c>
    </row>
    <row r="62" spans="2:4" ht="12.75">
      <c r="B62" s="13">
        <v>3</v>
      </c>
      <c r="C62" s="13">
        <f t="shared" si="2"/>
        <v>232</v>
      </c>
      <c r="D62" s="13">
        <f t="shared" si="3"/>
        <v>293</v>
      </c>
    </row>
    <row r="63" spans="2:4" ht="12.75">
      <c r="B63" s="13">
        <v>4</v>
      </c>
      <c r="C63" s="13">
        <f t="shared" si="2"/>
        <v>18758</v>
      </c>
      <c r="D63" s="13">
        <f t="shared" si="3"/>
        <v>23656</v>
      </c>
    </row>
    <row r="64" spans="2:4" ht="12.75">
      <c r="B64" s="13">
        <v>5</v>
      </c>
      <c r="C64" s="13">
        <f t="shared" si="2"/>
        <v>141</v>
      </c>
      <c r="D64" s="13">
        <f t="shared" si="3"/>
        <v>178</v>
      </c>
    </row>
    <row r="65" spans="2:4" ht="12.75">
      <c r="B65" s="13">
        <v>6</v>
      </c>
      <c r="C65" s="13">
        <f t="shared" si="2"/>
        <v>6</v>
      </c>
      <c r="D65" s="13">
        <f t="shared" si="3"/>
        <v>8</v>
      </c>
    </row>
    <row r="66" spans="2:4" ht="12.75">
      <c r="B66" s="13">
        <v>7</v>
      </c>
      <c r="C66" s="13">
        <f t="shared" si="2"/>
        <v>351</v>
      </c>
      <c r="D66" s="13">
        <f t="shared" si="3"/>
        <v>443</v>
      </c>
    </row>
    <row r="67" spans="2:4" ht="12.75">
      <c r="B67" s="13">
        <v>8</v>
      </c>
      <c r="C67" s="13">
        <f t="shared" si="2"/>
        <v>85</v>
      </c>
      <c r="D67" s="13">
        <f t="shared" si="3"/>
        <v>107</v>
      </c>
    </row>
    <row r="68" spans="2:4" ht="12.75">
      <c r="B68" s="13">
        <v>9</v>
      </c>
      <c r="C68" s="13">
        <f t="shared" si="2"/>
        <v>182</v>
      </c>
      <c r="D68" s="13">
        <f t="shared" si="3"/>
        <v>230</v>
      </c>
    </row>
    <row r="69" spans="2:4" ht="12.75">
      <c r="B69" s="13">
        <v>10</v>
      </c>
      <c r="C69" s="13">
        <f t="shared" si="2"/>
        <v>53430</v>
      </c>
      <c r="D69" s="13">
        <f t="shared" si="3"/>
        <v>67381</v>
      </c>
    </row>
  </sheetData>
  <mergeCells count="1">
    <mergeCell ref="B1:I6"/>
  </mergeCells>
  <printOptions/>
  <pageMargins left="0.75" right="0.75" top="1" bottom="1" header="0.4921259845" footer="0.492125984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1" max="1" width="27.140625" style="11" bestFit="1" customWidth="1"/>
    <col min="2" max="2" width="22.28125" style="11" bestFit="1" customWidth="1"/>
    <col min="3" max="3" width="9.00390625" style="11" bestFit="1" customWidth="1"/>
    <col min="4" max="4" width="12.00390625" style="11" bestFit="1" customWidth="1"/>
    <col min="5" max="16384" width="9.140625" style="11" customWidth="1"/>
  </cols>
  <sheetData>
    <row r="1" spans="1:8" ht="12.75">
      <c r="A1" s="1" t="s">
        <v>133</v>
      </c>
      <c r="B1" s="64" t="s">
        <v>198</v>
      </c>
      <c r="C1" s="64"/>
      <c r="D1" s="64"/>
      <c r="E1" s="64"/>
      <c r="F1" s="64"/>
      <c r="G1" s="64"/>
      <c r="H1" s="64"/>
    </row>
    <row r="2" spans="2:8" ht="12.75">
      <c r="B2" s="64"/>
      <c r="C2" s="64"/>
      <c r="D2" s="64"/>
      <c r="E2" s="64"/>
      <c r="F2" s="64"/>
      <c r="G2" s="64"/>
      <c r="H2" s="64"/>
    </row>
    <row r="3" spans="2:8" ht="12.75">
      <c r="B3" s="64"/>
      <c r="C3" s="64"/>
      <c r="D3" s="64"/>
      <c r="E3" s="64"/>
      <c r="F3" s="64"/>
      <c r="G3" s="64"/>
      <c r="H3" s="64"/>
    </row>
    <row r="4" spans="2:8" ht="12.75">
      <c r="B4" s="64"/>
      <c r="C4" s="64"/>
      <c r="D4" s="64"/>
      <c r="E4" s="64"/>
      <c r="F4" s="64"/>
      <c r="G4" s="64"/>
      <c r="H4" s="64"/>
    </row>
    <row r="5" spans="2:8" ht="12.75">
      <c r="B5" s="64"/>
      <c r="C5" s="64"/>
      <c r="D5" s="64"/>
      <c r="E5" s="64"/>
      <c r="F5" s="64"/>
      <c r="G5" s="64"/>
      <c r="H5" s="64"/>
    </row>
    <row r="6" spans="2:8" ht="12.75">
      <c r="B6" s="29"/>
      <c r="C6" s="29"/>
      <c r="D6" s="29"/>
      <c r="E6" s="29"/>
      <c r="F6" s="29"/>
      <c r="G6" s="29"/>
      <c r="H6" s="29"/>
    </row>
    <row r="7" spans="2:8" ht="12.75">
      <c r="B7" s="13" t="s">
        <v>115</v>
      </c>
      <c r="C7" s="13" t="s">
        <v>116</v>
      </c>
      <c r="D7" s="29"/>
      <c r="E7" s="29"/>
      <c r="F7" s="29"/>
      <c r="G7" s="29"/>
      <c r="H7" s="29"/>
    </row>
    <row r="8" spans="2:8" ht="12.75">
      <c r="B8" s="13">
        <v>0</v>
      </c>
      <c r="C8" s="13">
        <v>0.2</v>
      </c>
      <c r="D8" s="29"/>
      <c r="E8" s="29"/>
      <c r="F8" s="29"/>
      <c r="G8" s="29"/>
      <c r="H8" s="29"/>
    </row>
    <row r="9" spans="2:8" ht="12.75">
      <c r="B9" s="13">
        <v>1</v>
      </c>
      <c r="C9" s="13">
        <v>0.17</v>
      </c>
      <c r="D9" s="29"/>
      <c r="E9" s="29"/>
      <c r="F9" s="29"/>
      <c r="G9" s="29"/>
      <c r="H9" s="29"/>
    </row>
    <row r="10" spans="2:8" ht="12.75">
      <c r="B10" s="13">
        <v>2</v>
      </c>
      <c r="C10" s="13">
        <v>0.15</v>
      </c>
      <c r="D10" s="29"/>
      <c r="E10" s="29"/>
      <c r="F10" s="29"/>
      <c r="G10" s="29"/>
      <c r="H10" s="29"/>
    </row>
    <row r="11" spans="2:8" ht="12.75">
      <c r="B11" s="13">
        <v>3</v>
      </c>
      <c r="C11" s="13">
        <v>0.13</v>
      </c>
      <c r="D11" s="29"/>
      <c r="E11" s="29"/>
      <c r="F11" s="29"/>
      <c r="G11" s="29"/>
      <c r="H11" s="29"/>
    </row>
    <row r="12" spans="2:8" ht="12.75">
      <c r="B12" s="13">
        <v>4</v>
      </c>
      <c r="C12" s="13">
        <v>0.12</v>
      </c>
      <c r="D12" s="29"/>
      <c r="E12" s="29"/>
      <c r="F12" s="29"/>
      <c r="G12" s="29"/>
      <c r="H12" s="29"/>
    </row>
    <row r="13" spans="2:8" ht="12.75">
      <c r="B13" s="13">
        <v>5</v>
      </c>
      <c r="C13" s="13">
        <v>0.1</v>
      </c>
      <c r="D13" s="29"/>
      <c r="E13" s="29"/>
      <c r="F13" s="29"/>
      <c r="G13" s="29"/>
      <c r="H13" s="29"/>
    </row>
    <row r="14" spans="2:8" ht="12.75">
      <c r="B14" s="13">
        <v>6</v>
      </c>
      <c r="C14" s="13">
        <v>0.05</v>
      </c>
      <c r="D14" s="29"/>
      <c r="E14" s="29"/>
      <c r="F14" s="29"/>
      <c r="G14" s="29"/>
      <c r="H14" s="29"/>
    </row>
    <row r="15" spans="2:8" ht="12.75">
      <c r="B15" s="13">
        <v>7</v>
      </c>
      <c r="C15" s="13">
        <v>0.04</v>
      </c>
      <c r="D15" s="29"/>
      <c r="E15" s="29"/>
      <c r="F15" s="29"/>
      <c r="G15" s="29"/>
      <c r="H15" s="29"/>
    </row>
    <row r="16" spans="2:8" ht="12.75">
      <c r="B16" s="13">
        <v>8</v>
      </c>
      <c r="C16" s="13">
        <v>0.03</v>
      </c>
      <c r="D16" s="29"/>
      <c r="E16" s="29"/>
      <c r="F16" s="29"/>
      <c r="G16" s="29"/>
      <c r="H16" s="29"/>
    </row>
    <row r="17" spans="2:8" ht="12.75">
      <c r="B17" s="13">
        <v>9</v>
      </c>
      <c r="C17" s="13">
        <v>0.01</v>
      </c>
      <c r="D17" s="29"/>
      <c r="E17" s="29"/>
      <c r="F17" s="29"/>
      <c r="G17" s="29"/>
      <c r="H17" s="29"/>
    </row>
    <row r="18" ht="12.75"/>
    <row r="19" ht="12.75">
      <c r="A19" s="1" t="s">
        <v>0</v>
      </c>
    </row>
    <row r="20" spans="1:4" ht="12.75">
      <c r="A20" s="12" t="s">
        <v>199</v>
      </c>
      <c r="B20" s="13">
        <v>147000</v>
      </c>
      <c r="C20" s="12" t="s">
        <v>113</v>
      </c>
      <c r="D20" s="63" t="s">
        <v>119</v>
      </c>
    </row>
    <row r="21" spans="1:4" ht="15.75">
      <c r="A21" s="12" t="s">
        <v>114</v>
      </c>
      <c r="B21" s="13">
        <v>167000</v>
      </c>
      <c r="C21" s="12" t="s">
        <v>113</v>
      </c>
      <c r="D21" s="63" t="s">
        <v>120</v>
      </c>
    </row>
    <row r="22" ht="12.75"/>
    <row r="23" spans="1:2" ht="12.75">
      <c r="A23" s="1" t="s">
        <v>11</v>
      </c>
      <c r="B23" s="10" t="s">
        <v>118</v>
      </c>
    </row>
    <row r="24" ht="12.75"/>
    <row r="25" spans="1:3" ht="12.75">
      <c r="A25" s="22" t="s">
        <v>52</v>
      </c>
      <c r="B25" s="13">
        <f>B21/(B21+B20)</f>
        <v>0.5318471337579618</v>
      </c>
      <c r="C25" s="18"/>
    </row>
    <row r="27" spans="1:4" ht="12.75">
      <c r="A27" s="22" t="s">
        <v>115</v>
      </c>
      <c r="B27" s="22" t="s">
        <v>116</v>
      </c>
      <c r="C27" s="22" t="s">
        <v>121</v>
      </c>
      <c r="D27" s="22" t="s">
        <v>117</v>
      </c>
    </row>
    <row r="28" spans="1:4" ht="12.75">
      <c r="A28" s="13">
        <v>0</v>
      </c>
      <c r="B28" s="13">
        <v>0.2</v>
      </c>
      <c r="C28" s="13">
        <f>B28</f>
        <v>0.2</v>
      </c>
      <c r="D28" s="22" t="str">
        <f>IF(B25&lt;C28,"ano","-")</f>
        <v>-</v>
      </c>
    </row>
    <row r="29" spans="1:4" ht="12.75">
      <c r="A29" s="13">
        <v>1</v>
      </c>
      <c r="B29" s="13">
        <v>0.17</v>
      </c>
      <c r="C29" s="13">
        <f aca="true" t="shared" si="0" ref="C29:C37">C28+B29</f>
        <v>0.37</v>
      </c>
      <c r="D29" s="22" t="str">
        <f aca="true" t="shared" si="1" ref="D29:D37">IF(AND($B$25&lt;C29,$B$25&gt;C28),"ano","-")</f>
        <v>-</v>
      </c>
    </row>
    <row r="30" spans="1:4" ht="12.75">
      <c r="A30" s="13">
        <v>2</v>
      </c>
      <c r="B30" s="13">
        <v>0.15</v>
      </c>
      <c r="C30" s="13">
        <f t="shared" si="0"/>
        <v>0.52</v>
      </c>
      <c r="D30" s="22" t="str">
        <f t="shared" si="1"/>
        <v>-</v>
      </c>
    </row>
    <row r="31" spans="1:4" ht="12.75">
      <c r="A31" s="13">
        <v>3</v>
      </c>
      <c r="B31" s="13">
        <v>0.13</v>
      </c>
      <c r="C31" s="13">
        <f t="shared" si="0"/>
        <v>0.65</v>
      </c>
      <c r="D31" s="22" t="str">
        <f t="shared" si="1"/>
        <v>ano</v>
      </c>
    </row>
    <row r="32" spans="1:4" ht="12.75">
      <c r="A32" s="13">
        <v>4</v>
      </c>
      <c r="B32" s="13">
        <v>0.12</v>
      </c>
      <c r="C32" s="13">
        <f t="shared" si="0"/>
        <v>0.77</v>
      </c>
      <c r="D32" s="22" t="str">
        <f t="shared" si="1"/>
        <v>-</v>
      </c>
    </row>
    <row r="33" spans="1:4" ht="12.75">
      <c r="A33" s="13">
        <v>5</v>
      </c>
      <c r="B33" s="13">
        <v>0.1</v>
      </c>
      <c r="C33" s="13">
        <f t="shared" si="0"/>
        <v>0.87</v>
      </c>
      <c r="D33" s="22" t="str">
        <f t="shared" si="1"/>
        <v>-</v>
      </c>
    </row>
    <row r="34" spans="1:4" ht="12.75">
      <c r="A34" s="13">
        <v>6</v>
      </c>
      <c r="B34" s="13">
        <v>0.05</v>
      </c>
      <c r="C34" s="13">
        <f t="shared" si="0"/>
        <v>0.92</v>
      </c>
      <c r="D34" s="22" t="str">
        <f t="shared" si="1"/>
        <v>-</v>
      </c>
    </row>
    <row r="35" spans="1:4" ht="12.75">
      <c r="A35" s="13">
        <v>7</v>
      </c>
      <c r="B35" s="13">
        <v>0.04</v>
      </c>
      <c r="C35" s="13">
        <f t="shared" si="0"/>
        <v>0.9600000000000001</v>
      </c>
      <c r="D35" s="22" t="str">
        <f t="shared" si="1"/>
        <v>-</v>
      </c>
    </row>
    <row r="36" spans="1:4" ht="12.75">
      <c r="A36" s="13">
        <v>8</v>
      </c>
      <c r="B36" s="13">
        <v>0.03</v>
      </c>
      <c r="C36" s="13">
        <f t="shared" si="0"/>
        <v>0.9900000000000001</v>
      </c>
      <c r="D36" s="22" t="str">
        <f t="shared" si="1"/>
        <v>-</v>
      </c>
    </row>
    <row r="37" spans="1:4" ht="12.75">
      <c r="A37" s="13">
        <v>9</v>
      </c>
      <c r="B37" s="13">
        <v>0.01</v>
      </c>
      <c r="C37" s="13">
        <f t="shared" si="0"/>
        <v>1</v>
      </c>
      <c r="D37" s="22" t="str">
        <f t="shared" si="1"/>
        <v>-</v>
      </c>
    </row>
  </sheetData>
  <mergeCells count="1">
    <mergeCell ref="B1:H5"/>
  </mergeCells>
  <printOptions/>
  <pageMargins left="0.75" right="0.75" top="1" bottom="1" header="0.4921259845" footer="0.4921259845"/>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13.00390625" style="11" customWidth="1"/>
    <col min="2" max="2" width="26.28125" style="11" customWidth="1"/>
    <col min="3" max="3" width="26.421875" style="11" customWidth="1"/>
    <col min="4" max="4" width="33.8515625" style="11" customWidth="1"/>
    <col min="5" max="5" width="18.421875" style="11" customWidth="1"/>
    <col min="6" max="6" width="9.140625" style="11" customWidth="1"/>
    <col min="7" max="7" width="4.7109375" style="11" customWidth="1"/>
    <col min="8" max="8" width="9.140625" style="11" customWidth="1"/>
    <col min="9" max="9" width="8.28125" style="11" customWidth="1"/>
    <col min="10" max="16384" width="9.140625" style="11" customWidth="1"/>
  </cols>
  <sheetData>
    <row r="1" spans="1:7" ht="12.75">
      <c r="A1" s="1" t="s">
        <v>133</v>
      </c>
      <c r="B1" s="65" t="s">
        <v>151</v>
      </c>
      <c r="C1" s="65"/>
      <c r="D1" s="65"/>
      <c r="E1" s="65"/>
      <c r="F1" s="65"/>
      <c r="G1" s="65"/>
    </row>
    <row r="2" spans="2:7" ht="12.75">
      <c r="B2" s="65"/>
      <c r="C2" s="65"/>
      <c r="D2" s="65"/>
      <c r="E2" s="65"/>
      <c r="F2" s="65"/>
      <c r="G2" s="65"/>
    </row>
    <row r="3" spans="2:7" ht="12.75">
      <c r="B3" s="65"/>
      <c r="C3" s="65"/>
      <c r="D3" s="65"/>
      <c r="E3" s="65"/>
      <c r="F3" s="65"/>
      <c r="G3" s="65"/>
    </row>
    <row r="4" spans="2:7" ht="12.75">
      <c r="B4" s="65"/>
      <c r="C4" s="65"/>
      <c r="D4" s="65"/>
      <c r="E4" s="65"/>
      <c r="F4" s="65"/>
      <c r="G4" s="65"/>
    </row>
    <row r="5" spans="1:7" ht="12.75">
      <c r="A5" s="1" t="s">
        <v>56</v>
      </c>
      <c r="B5" s="65" t="s">
        <v>146</v>
      </c>
      <c r="C5" s="65"/>
      <c r="D5" s="65"/>
      <c r="E5" s="65"/>
      <c r="F5" s="65"/>
      <c r="G5" s="65"/>
    </row>
    <row r="6" spans="2:7" ht="12.75">
      <c r="B6" s="65"/>
      <c r="C6" s="65"/>
      <c r="D6" s="65"/>
      <c r="E6" s="65"/>
      <c r="F6" s="65"/>
      <c r="G6" s="65"/>
    </row>
    <row r="7" spans="2:7" ht="12.75">
      <c r="B7" s="65"/>
      <c r="C7" s="65"/>
      <c r="D7" s="65"/>
      <c r="E7" s="65"/>
      <c r="F7" s="65"/>
      <c r="G7" s="65"/>
    </row>
    <row r="8" spans="2:7" ht="12.75">
      <c r="B8" s="21"/>
      <c r="C8" s="21"/>
      <c r="D8" s="21"/>
      <c r="E8" s="21"/>
      <c r="F8" s="21"/>
      <c r="G8" s="21"/>
    </row>
    <row r="9" spans="2:7" ht="12.75">
      <c r="B9" s="21"/>
      <c r="C9" s="21"/>
      <c r="D9" s="21"/>
      <c r="E9" s="21"/>
      <c r="F9" s="21"/>
      <c r="G9" s="21"/>
    </row>
    <row r="10" spans="1:2" ht="12.75">
      <c r="A10" s="1" t="s">
        <v>0</v>
      </c>
      <c r="B10" s="10" t="s">
        <v>10</v>
      </c>
    </row>
    <row r="11" spans="1:4" ht="12.75">
      <c r="A11" s="12" t="s">
        <v>1</v>
      </c>
      <c r="B11" s="13">
        <v>500</v>
      </c>
      <c r="C11" s="12" t="s">
        <v>53</v>
      </c>
      <c r="D11" s="14" t="s">
        <v>14</v>
      </c>
    </row>
    <row r="12" spans="1:4" ht="15.75">
      <c r="A12" s="12" t="s">
        <v>2</v>
      </c>
      <c r="B12" s="13">
        <v>1100</v>
      </c>
      <c r="C12" s="12" t="s">
        <v>6</v>
      </c>
      <c r="D12" s="14" t="s">
        <v>15</v>
      </c>
    </row>
    <row r="13" spans="1:4" ht="15.75">
      <c r="A13" s="12" t="s">
        <v>3</v>
      </c>
      <c r="B13" s="13">
        <v>0.25</v>
      </c>
      <c r="C13" s="12" t="s">
        <v>12</v>
      </c>
      <c r="D13" s="14" t="s">
        <v>16</v>
      </c>
    </row>
    <row r="14" spans="1:4" ht="12.75">
      <c r="A14" s="12" t="s">
        <v>4</v>
      </c>
      <c r="B14" s="13">
        <v>100</v>
      </c>
      <c r="C14" s="12" t="s">
        <v>113</v>
      </c>
      <c r="D14" s="14" t="s">
        <v>17</v>
      </c>
    </row>
    <row r="15" spans="1:4" ht="15.75">
      <c r="A15" s="12" t="s">
        <v>8</v>
      </c>
      <c r="B15" s="13">
        <v>1</v>
      </c>
      <c r="C15" s="12" t="s">
        <v>9</v>
      </c>
      <c r="D15" s="14" t="s">
        <v>18</v>
      </c>
    </row>
    <row r="16" ht="12.75">
      <c r="D16" s="15"/>
    </row>
    <row r="17" spans="1:4" ht="15.75">
      <c r="A17" s="1" t="s">
        <v>11</v>
      </c>
      <c r="B17" s="10" t="s">
        <v>22</v>
      </c>
      <c r="D17" s="15"/>
    </row>
    <row r="18" spans="1:10" ht="15.75">
      <c r="A18" s="12" t="s">
        <v>3</v>
      </c>
      <c r="B18" s="13">
        <f>IF(C15="měsíc",B13/12,B13)</f>
        <v>0.020833333333333332</v>
      </c>
      <c r="C18" s="12" t="s">
        <v>142</v>
      </c>
      <c r="D18" s="23"/>
      <c r="E18" s="21"/>
      <c r="F18" s="21"/>
      <c r="G18" s="21"/>
      <c r="H18" s="21"/>
      <c r="I18" s="21"/>
      <c r="J18" s="21"/>
    </row>
    <row r="19" spans="5:10" ht="12.75">
      <c r="E19" s="21"/>
      <c r="F19" s="21"/>
      <c r="G19" s="21"/>
      <c r="H19" s="21"/>
      <c r="I19" s="21"/>
      <c r="J19" s="21"/>
    </row>
    <row r="20" spans="1:10" ht="12.75">
      <c r="A20" s="1" t="s">
        <v>13</v>
      </c>
      <c r="B20" s="10" t="s">
        <v>48</v>
      </c>
      <c r="E20" s="21"/>
      <c r="F20" s="21"/>
      <c r="G20" s="21"/>
      <c r="H20" s="21"/>
      <c r="I20" s="21"/>
      <c r="J20" s="21"/>
    </row>
    <row r="21" spans="1:3" ht="12.75">
      <c r="A21" s="13" t="s">
        <v>49</v>
      </c>
      <c r="B21" s="13">
        <f>(2*B11*B12)/(B15*B14*B18)</f>
        <v>528000.0000000001</v>
      </c>
      <c r="C21" s="17" t="s">
        <v>52</v>
      </c>
    </row>
    <row r="22" ht="12.75"/>
    <row r="23" spans="1:2" ht="12.75">
      <c r="A23" s="1" t="s">
        <v>37</v>
      </c>
      <c r="B23" s="10" t="s">
        <v>55</v>
      </c>
    </row>
    <row r="24" spans="1:3" ht="12.75">
      <c r="A24" s="13" t="s">
        <v>50</v>
      </c>
      <c r="B24" s="13">
        <v>50</v>
      </c>
      <c r="C24" s="12" t="s">
        <v>54</v>
      </c>
    </row>
    <row r="25" ht="12.75"/>
    <row r="26" spans="1:6" ht="12.75">
      <c r="A26" s="22" t="s">
        <v>51</v>
      </c>
      <c r="B26" s="22" t="s">
        <v>31</v>
      </c>
      <c r="C26" s="22" t="s">
        <v>144</v>
      </c>
      <c r="D26" s="22" t="s">
        <v>145</v>
      </c>
      <c r="E26" s="22" t="s">
        <v>143</v>
      </c>
      <c r="F26" s="22" t="s">
        <v>39</v>
      </c>
    </row>
    <row r="27" spans="1:6" ht="12.75">
      <c r="A27" s="13">
        <v>1</v>
      </c>
      <c r="B27" s="13">
        <f aca="true" t="shared" si="0" ref="B27:B56">A27*$B$24</f>
        <v>50</v>
      </c>
      <c r="C27" s="13">
        <f aca="true" t="shared" si="1" ref="C27:C56">B27*(B27-$B$24)</f>
        <v>0</v>
      </c>
      <c r="D27" s="13">
        <f>B27*(B27+$B$24)</f>
        <v>5000</v>
      </c>
      <c r="E27" s="13" t="str">
        <f>IF(AND($B$21&gt;=C27,$B$21&lt;=D27),"ano","ne")</f>
        <v>ne</v>
      </c>
      <c r="F27" s="13">
        <f>ROUND(B27/2*$B$15*$B$14*$B$18+$B$11/B27*$B$12,0)</f>
        <v>11052</v>
      </c>
    </row>
    <row r="28" spans="1:6" ht="12.75">
      <c r="A28" s="13">
        <v>2</v>
      </c>
      <c r="B28" s="13">
        <f t="shared" si="0"/>
        <v>100</v>
      </c>
      <c r="C28" s="13">
        <f t="shared" si="1"/>
        <v>5000</v>
      </c>
      <c r="D28" s="13">
        <f aca="true" t="shared" si="2" ref="D28:D36">B28*(B28+$B$24)</f>
        <v>15000</v>
      </c>
      <c r="E28" s="13" t="str">
        <f aca="true" t="shared" si="3" ref="E28:E36">IF(AND($B$21&gt;=C28,$B$21&lt;=D28),"ano","ne")</f>
        <v>ne</v>
      </c>
      <c r="F28" s="13">
        <f aca="true" t="shared" si="4" ref="F28:F36">ROUND(B28/2*$B$15*$B$14*$B$18+$B$11/B28*$B$12,0)</f>
        <v>5604</v>
      </c>
    </row>
    <row r="29" spans="1:6" ht="12.75">
      <c r="A29" s="13">
        <v>3</v>
      </c>
      <c r="B29" s="13">
        <f t="shared" si="0"/>
        <v>150</v>
      </c>
      <c r="C29" s="13">
        <f t="shared" si="1"/>
        <v>15000</v>
      </c>
      <c r="D29" s="13">
        <f t="shared" si="2"/>
        <v>30000</v>
      </c>
      <c r="E29" s="13" t="str">
        <f t="shared" si="3"/>
        <v>ne</v>
      </c>
      <c r="F29" s="13">
        <f t="shared" si="4"/>
        <v>3823</v>
      </c>
    </row>
    <row r="30" spans="1:6" ht="12.75">
      <c r="A30" s="13">
        <v>4</v>
      </c>
      <c r="B30" s="13">
        <f t="shared" si="0"/>
        <v>200</v>
      </c>
      <c r="C30" s="13">
        <f t="shared" si="1"/>
        <v>30000</v>
      </c>
      <c r="D30" s="13">
        <f t="shared" si="2"/>
        <v>50000</v>
      </c>
      <c r="E30" s="13" t="str">
        <f t="shared" si="3"/>
        <v>ne</v>
      </c>
      <c r="F30" s="13">
        <f t="shared" si="4"/>
        <v>2958</v>
      </c>
    </row>
    <row r="31" spans="1:6" ht="12.75">
      <c r="A31" s="13">
        <v>5</v>
      </c>
      <c r="B31" s="13">
        <f t="shared" si="0"/>
        <v>250</v>
      </c>
      <c r="C31" s="13">
        <f t="shared" si="1"/>
        <v>50000</v>
      </c>
      <c r="D31" s="13">
        <f t="shared" si="2"/>
        <v>75000</v>
      </c>
      <c r="E31" s="13" t="str">
        <f t="shared" si="3"/>
        <v>ne</v>
      </c>
      <c r="F31" s="13">
        <f t="shared" si="4"/>
        <v>2460</v>
      </c>
    </row>
    <row r="32" spans="1:6" ht="12.75">
      <c r="A32" s="13">
        <v>6</v>
      </c>
      <c r="B32" s="13">
        <f t="shared" si="0"/>
        <v>300</v>
      </c>
      <c r="C32" s="13">
        <f t="shared" si="1"/>
        <v>75000</v>
      </c>
      <c r="D32" s="13">
        <f t="shared" si="2"/>
        <v>105000</v>
      </c>
      <c r="E32" s="13" t="str">
        <f t="shared" si="3"/>
        <v>ne</v>
      </c>
      <c r="F32" s="13">
        <f t="shared" si="4"/>
        <v>2146</v>
      </c>
    </row>
    <row r="33" spans="1:6" ht="12.75">
      <c r="A33" s="13">
        <v>7</v>
      </c>
      <c r="B33" s="13">
        <f t="shared" si="0"/>
        <v>350</v>
      </c>
      <c r="C33" s="13">
        <f t="shared" si="1"/>
        <v>105000</v>
      </c>
      <c r="D33" s="13">
        <f t="shared" si="2"/>
        <v>140000</v>
      </c>
      <c r="E33" s="13" t="str">
        <f t="shared" si="3"/>
        <v>ne</v>
      </c>
      <c r="F33" s="13">
        <f t="shared" si="4"/>
        <v>1936</v>
      </c>
    </row>
    <row r="34" spans="1:6" ht="12.75">
      <c r="A34" s="13">
        <v>8</v>
      </c>
      <c r="B34" s="13">
        <f t="shared" si="0"/>
        <v>400</v>
      </c>
      <c r="C34" s="13">
        <f t="shared" si="1"/>
        <v>140000</v>
      </c>
      <c r="D34" s="13">
        <f t="shared" si="2"/>
        <v>180000</v>
      </c>
      <c r="E34" s="13" t="str">
        <f t="shared" si="3"/>
        <v>ne</v>
      </c>
      <c r="F34" s="13">
        <f t="shared" si="4"/>
        <v>1792</v>
      </c>
    </row>
    <row r="35" spans="1:6" ht="12.75">
      <c r="A35" s="13">
        <v>9</v>
      </c>
      <c r="B35" s="13">
        <f t="shared" si="0"/>
        <v>450</v>
      </c>
      <c r="C35" s="13">
        <f t="shared" si="1"/>
        <v>180000</v>
      </c>
      <c r="D35" s="13">
        <f t="shared" si="2"/>
        <v>225000</v>
      </c>
      <c r="E35" s="13" t="str">
        <f t="shared" si="3"/>
        <v>ne</v>
      </c>
      <c r="F35" s="13">
        <f t="shared" si="4"/>
        <v>1691</v>
      </c>
    </row>
    <row r="36" spans="1:6" ht="12.75">
      <c r="A36" s="13">
        <v>10</v>
      </c>
      <c r="B36" s="13">
        <f t="shared" si="0"/>
        <v>500</v>
      </c>
      <c r="C36" s="13">
        <f t="shared" si="1"/>
        <v>225000</v>
      </c>
      <c r="D36" s="13">
        <f t="shared" si="2"/>
        <v>275000</v>
      </c>
      <c r="E36" s="13" t="str">
        <f t="shared" si="3"/>
        <v>ne</v>
      </c>
      <c r="F36" s="13">
        <f t="shared" si="4"/>
        <v>1621</v>
      </c>
    </row>
    <row r="37" spans="1:6" ht="12.75">
      <c r="A37" s="13">
        <v>11</v>
      </c>
      <c r="B37" s="13">
        <f t="shared" si="0"/>
        <v>550</v>
      </c>
      <c r="C37" s="13">
        <f t="shared" si="1"/>
        <v>275000</v>
      </c>
      <c r="D37" s="13">
        <f aca="true" t="shared" si="5" ref="D37:D55">B37*(B37+$B$24)</f>
        <v>330000</v>
      </c>
      <c r="E37" s="13" t="str">
        <f aca="true" t="shared" si="6" ref="E37:E55">IF(AND($B$21&gt;=C37,$B$21&lt;=D37),"ano","ne")</f>
        <v>ne</v>
      </c>
      <c r="F37" s="13">
        <f aca="true" t="shared" si="7" ref="F37:F55">ROUND(B37/2*$B$15*$B$14*$B$18+$B$11/B37*$B$12,0)</f>
        <v>1573</v>
      </c>
    </row>
    <row r="38" spans="1:6" ht="12.75">
      <c r="A38" s="13">
        <v>12</v>
      </c>
      <c r="B38" s="13">
        <f t="shared" si="0"/>
        <v>600</v>
      </c>
      <c r="C38" s="13">
        <f t="shared" si="1"/>
        <v>330000</v>
      </c>
      <c r="D38" s="13">
        <f t="shared" si="5"/>
        <v>390000</v>
      </c>
      <c r="E38" s="13" t="str">
        <f t="shared" si="6"/>
        <v>ne</v>
      </c>
      <c r="F38" s="13">
        <f t="shared" si="7"/>
        <v>1542</v>
      </c>
    </row>
    <row r="39" spans="1:6" ht="12.75">
      <c r="A39" s="13">
        <v>13</v>
      </c>
      <c r="B39" s="13">
        <f t="shared" si="0"/>
        <v>650</v>
      </c>
      <c r="C39" s="13">
        <f t="shared" si="1"/>
        <v>390000</v>
      </c>
      <c r="D39" s="13">
        <f t="shared" si="5"/>
        <v>455000</v>
      </c>
      <c r="E39" s="13" t="str">
        <f t="shared" si="6"/>
        <v>ne</v>
      </c>
      <c r="F39" s="13">
        <f t="shared" si="7"/>
        <v>1523</v>
      </c>
    </row>
    <row r="40" spans="1:6" ht="12.75">
      <c r="A40" s="13">
        <v>14</v>
      </c>
      <c r="B40" s="13">
        <f t="shared" si="0"/>
        <v>700</v>
      </c>
      <c r="C40" s="13">
        <f t="shared" si="1"/>
        <v>455000</v>
      </c>
      <c r="D40" s="13">
        <f t="shared" si="5"/>
        <v>525000</v>
      </c>
      <c r="E40" s="13" t="str">
        <f t="shared" si="6"/>
        <v>ne</v>
      </c>
      <c r="F40" s="13">
        <f t="shared" si="7"/>
        <v>1515</v>
      </c>
    </row>
    <row r="41" spans="1:6" ht="12.75">
      <c r="A41" s="24">
        <v>15</v>
      </c>
      <c r="B41" s="24">
        <f t="shared" si="0"/>
        <v>750</v>
      </c>
      <c r="C41" s="24">
        <f t="shared" si="1"/>
        <v>525000</v>
      </c>
      <c r="D41" s="24">
        <f t="shared" si="5"/>
        <v>600000</v>
      </c>
      <c r="E41" s="24" t="str">
        <f t="shared" si="6"/>
        <v>ano</v>
      </c>
      <c r="F41" s="24">
        <f t="shared" si="7"/>
        <v>1515</v>
      </c>
    </row>
    <row r="42" spans="1:6" ht="12.75">
      <c r="A42" s="13">
        <v>16</v>
      </c>
      <c r="B42" s="13">
        <f t="shared" si="0"/>
        <v>800</v>
      </c>
      <c r="C42" s="13">
        <f t="shared" si="1"/>
        <v>600000</v>
      </c>
      <c r="D42" s="13">
        <f t="shared" si="5"/>
        <v>680000</v>
      </c>
      <c r="E42" s="13" t="str">
        <f t="shared" si="6"/>
        <v>ne</v>
      </c>
      <c r="F42" s="13">
        <f t="shared" si="7"/>
        <v>1521</v>
      </c>
    </row>
    <row r="43" spans="1:6" ht="12.75">
      <c r="A43" s="13">
        <v>17</v>
      </c>
      <c r="B43" s="13">
        <f t="shared" si="0"/>
        <v>850</v>
      </c>
      <c r="C43" s="13">
        <f t="shared" si="1"/>
        <v>680000</v>
      </c>
      <c r="D43" s="13">
        <f t="shared" si="5"/>
        <v>765000</v>
      </c>
      <c r="E43" s="13" t="str">
        <f t="shared" si="6"/>
        <v>ne</v>
      </c>
      <c r="F43" s="13">
        <f t="shared" si="7"/>
        <v>1532</v>
      </c>
    </row>
    <row r="44" spans="1:6" ht="12.75">
      <c r="A44" s="13">
        <v>18</v>
      </c>
      <c r="B44" s="13">
        <f t="shared" si="0"/>
        <v>900</v>
      </c>
      <c r="C44" s="13">
        <f t="shared" si="1"/>
        <v>765000</v>
      </c>
      <c r="D44" s="13">
        <f t="shared" si="5"/>
        <v>855000</v>
      </c>
      <c r="E44" s="13" t="str">
        <f t="shared" si="6"/>
        <v>ne</v>
      </c>
      <c r="F44" s="13">
        <f t="shared" si="7"/>
        <v>1549</v>
      </c>
    </row>
    <row r="45" spans="1:6" ht="12.75">
      <c r="A45" s="13">
        <v>19</v>
      </c>
      <c r="B45" s="13">
        <f t="shared" si="0"/>
        <v>950</v>
      </c>
      <c r="C45" s="13">
        <f t="shared" si="1"/>
        <v>855000</v>
      </c>
      <c r="D45" s="13">
        <f t="shared" si="5"/>
        <v>950000</v>
      </c>
      <c r="E45" s="13" t="str">
        <f t="shared" si="6"/>
        <v>ne</v>
      </c>
      <c r="F45" s="13">
        <f t="shared" si="7"/>
        <v>1569</v>
      </c>
    </row>
    <row r="46" spans="1:6" ht="12.75">
      <c r="A46" s="13">
        <v>20</v>
      </c>
      <c r="B46" s="13">
        <f t="shared" si="0"/>
        <v>1000</v>
      </c>
      <c r="C46" s="13">
        <f t="shared" si="1"/>
        <v>950000</v>
      </c>
      <c r="D46" s="13">
        <f t="shared" si="5"/>
        <v>1050000</v>
      </c>
      <c r="E46" s="13" t="str">
        <f t="shared" si="6"/>
        <v>ne</v>
      </c>
      <c r="F46" s="13">
        <f t="shared" si="7"/>
        <v>1592</v>
      </c>
    </row>
    <row r="47" spans="1:6" ht="12.75">
      <c r="A47" s="13">
        <v>21</v>
      </c>
      <c r="B47" s="13">
        <f t="shared" si="0"/>
        <v>1050</v>
      </c>
      <c r="C47" s="13">
        <f t="shared" si="1"/>
        <v>1050000</v>
      </c>
      <c r="D47" s="13">
        <f t="shared" si="5"/>
        <v>1155000</v>
      </c>
      <c r="E47" s="13" t="str">
        <f t="shared" si="6"/>
        <v>ne</v>
      </c>
      <c r="F47" s="13">
        <f t="shared" si="7"/>
        <v>1618</v>
      </c>
    </row>
    <row r="48" spans="1:6" ht="12.75">
      <c r="A48" s="13">
        <v>22</v>
      </c>
      <c r="B48" s="13">
        <f t="shared" si="0"/>
        <v>1100</v>
      </c>
      <c r="C48" s="13">
        <f t="shared" si="1"/>
        <v>1155000</v>
      </c>
      <c r="D48" s="13">
        <f t="shared" si="5"/>
        <v>1265000</v>
      </c>
      <c r="E48" s="13" t="str">
        <f t="shared" si="6"/>
        <v>ne</v>
      </c>
      <c r="F48" s="13">
        <f t="shared" si="7"/>
        <v>1646</v>
      </c>
    </row>
    <row r="49" spans="1:6" ht="12.75">
      <c r="A49" s="13">
        <v>23</v>
      </c>
      <c r="B49" s="13">
        <f t="shared" si="0"/>
        <v>1150</v>
      </c>
      <c r="C49" s="13">
        <f t="shared" si="1"/>
        <v>1265000</v>
      </c>
      <c r="D49" s="13">
        <f t="shared" si="5"/>
        <v>1380000</v>
      </c>
      <c r="E49" s="13" t="str">
        <f t="shared" si="6"/>
        <v>ne</v>
      </c>
      <c r="F49" s="13">
        <f t="shared" si="7"/>
        <v>1676</v>
      </c>
    </row>
    <row r="50" spans="1:6" ht="12.75">
      <c r="A50" s="13">
        <v>24</v>
      </c>
      <c r="B50" s="13">
        <f t="shared" si="0"/>
        <v>1200</v>
      </c>
      <c r="C50" s="13">
        <f t="shared" si="1"/>
        <v>1380000</v>
      </c>
      <c r="D50" s="13">
        <f t="shared" si="5"/>
        <v>1500000</v>
      </c>
      <c r="E50" s="13" t="str">
        <f t="shared" si="6"/>
        <v>ne</v>
      </c>
      <c r="F50" s="13">
        <f t="shared" si="7"/>
        <v>1708</v>
      </c>
    </row>
    <row r="51" spans="1:6" ht="12.75">
      <c r="A51" s="13">
        <v>25</v>
      </c>
      <c r="B51" s="13">
        <f t="shared" si="0"/>
        <v>1250</v>
      </c>
      <c r="C51" s="13">
        <f t="shared" si="1"/>
        <v>1500000</v>
      </c>
      <c r="D51" s="13">
        <f t="shared" si="5"/>
        <v>1625000</v>
      </c>
      <c r="E51" s="13" t="str">
        <f t="shared" si="6"/>
        <v>ne</v>
      </c>
      <c r="F51" s="13">
        <f t="shared" si="7"/>
        <v>1742</v>
      </c>
    </row>
    <row r="52" spans="1:6" ht="12.75">
      <c r="A52" s="13">
        <v>26</v>
      </c>
      <c r="B52" s="13">
        <f t="shared" si="0"/>
        <v>1300</v>
      </c>
      <c r="C52" s="13">
        <f t="shared" si="1"/>
        <v>1625000</v>
      </c>
      <c r="D52" s="13">
        <f t="shared" si="5"/>
        <v>1755000</v>
      </c>
      <c r="E52" s="13" t="str">
        <f t="shared" si="6"/>
        <v>ne</v>
      </c>
      <c r="F52" s="13">
        <f t="shared" si="7"/>
        <v>1777</v>
      </c>
    </row>
    <row r="53" spans="1:6" ht="12.75">
      <c r="A53" s="13">
        <v>27</v>
      </c>
      <c r="B53" s="13">
        <f t="shared" si="0"/>
        <v>1350</v>
      </c>
      <c r="C53" s="13">
        <f t="shared" si="1"/>
        <v>1755000</v>
      </c>
      <c r="D53" s="13">
        <f t="shared" si="5"/>
        <v>1890000</v>
      </c>
      <c r="E53" s="13" t="str">
        <f t="shared" si="6"/>
        <v>ne</v>
      </c>
      <c r="F53" s="13">
        <f t="shared" si="7"/>
        <v>1814</v>
      </c>
    </row>
    <row r="54" spans="1:6" ht="12.75">
      <c r="A54" s="13">
        <v>28</v>
      </c>
      <c r="B54" s="13">
        <f t="shared" si="0"/>
        <v>1400</v>
      </c>
      <c r="C54" s="13">
        <f t="shared" si="1"/>
        <v>1890000</v>
      </c>
      <c r="D54" s="13">
        <f t="shared" si="5"/>
        <v>2030000</v>
      </c>
      <c r="E54" s="13" t="str">
        <f t="shared" si="6"/>
        <v>ne</v>
      </c>
      <c r="F54" s="13">
        <f t="shared" si="7"/>
        <v>1851</v>
      </c>
    </row>
    <row r="55" spans="1:6" ht="12.75">
      <c r="A55" s="13">
        <v>29</v>
      </c>
      <c r="B55" s="13">
        <f t="shared" si="0"/>
        <v>1450</v>
      </c>
      <c r="C55" s="13">
        <f t="shared" si="1"/>
        <v>2030000</v>
      </c>
      <c r="D55" s="13">
        <f t="shared" si="5"/>
        <v>2175000</v>
      </c>
      <c r="E55" s="13" t="str">
        <f t="shared" si="6"/>
        <v>ne</v>
      </c>
      <c r="F55" s="13">
        <f t="shared" si="7"/>
        <v>1890</v>
      </c>
    </row>
    <row r="56" spans="1:6" ht="12.75">
      <c r="A56" s="13">
        <v>30</v>
      </c>
      <c r="B56" s="13">
        <f t="shared" si="0"/>
        <v>1500</v>
      </c>
      <c r="C56" s="13">
        <f t="shared" si="1"/>
        <v>2175000</v>
      </c>
      <c r="D56" s="13">
        <f>B56*(B56+$B$24)</f>
        <v>2325000</v>
      </c>
      <c r="E56" s="13" t="str">
        <f>IF(AND($B$21&gt;=C56,$B$21&lt;=D56),"ano","ne")</f>
        <v>ne</v>
      </c>
      <c r="F56" s="13">
        <f>ROUND(B56/2*$B$15*$B$14*$B$18+$B$11/B56*$B$12,0)</f>
        <v>1929</v>
      </c>
    </row>
  </sheetData>
  <mergeCells count="2">
    <mergeCell ref="B1:G4"/>
    <mergeCell ref="B5:G7"/>
  </mergeCells>
  <printOptions/>
  <pageMargins left="0.75" right="0.75" top="1" bottom="1" header="0.4921259845" footer="0.4921259845"/>
  <pageSetup horizontalDpi="1200" verticalDpi="1200" orientation="portrait" paperSize="9" r:id="rId5"/>
  <drawing r:id="rId4"/>
  <legacyDrawing r:id="rId3"/>
  <oleObjects>
    <oleObject progId="Equation.3" shapeId="108514" r:id="rId2"/>
  </oleObjects>
</worksheet>
</file>

<file path=xl/worksheets/sheet3.xml><?xml version="1.0" encoding="utf-8"?>
<worksheet xmlns="http://schemas.openxmlformats.org/spreadsheetml/2006/main" xmlns:r="http://schemas.openxmlformats.org/officeDocument/2006/relationships">
  <dimension ref="A1:K139"/>
  <sheetViews>
    <sheetView workbookViewId="0" topLeftCell="A1">
      <selection activeCell="A1" sqref="A1"/>
    </sheetView>
  </sheetViews>
  <sheetFormatPr defaultColWidth="9.140625" defaultRowHeight="12.75"/>
  <cols>
    <col min="1" max="1" width="9.140625" style="11" customWidth="1"/>
    <col min="2" max="2" width="9.7109375" style="11" customWidth="1"/>
    <col min="3" max="3" width="29.57421875" style="11" customWidth="1"/>
    <col min="4" max="4" width="33.28125" style="11" customWidth="1"/>
    <col min="5" max="5" width="11.00390625" style="11" customWidth="1"/>
    <col min="6" max="6" width="11.00390625" style="11" bestFit="1" customWidth="1"/>
    <col min="7" max="7" width="12.00390625" style="11" bestFit="1" customWidth="1"/>
    <col min="8" max="8" width="21.140625" style="11" customWidth="1"/>
    <col min="9" max="9" width="7.57421875" style="11" bestFit="1" customWidth="1"/>
    <col min="10" max="10" width="14.28125" style="11" bestFit="1" customWidth="1"/>
    <col min="11" max="11" width="9.8515625" style="11" bestFit="1" customWidth="1"/>
    <col min="12" max="16384" width="9.140625" style="11" customWidth="1"/>
  </cols>
  <sheetData>
    <row r="1" spans="1:9" ht="12.75">
      <c r="A1" s="1" t="s">
        <v>133</v>
      </c>
      <c r="B1" s="65" t="s">
        <v>147</v>
      </c>
      <c r="C1" s="65"/>
      <c r="D1" s="65"/>
      <c r="E1" s="65"/>
      <c r="F1" s="65"/>
      <c r="G1" s="65"/>
      <c r="H1" s="28"/>
      <c r="I1" s="28"/>
    </row>
    <row r="2" spans="2:9" ht="12.75">
      <c r="B2" s="65"/>
      <c r="C2" s="65"/>
      <c r="D2" s="65"/>
      <c r="E2" s="65"/>
      <c r="F2" s="65"/>
      <c r="G2" s="65"/>
      <c r="H2" s="28"/>
      <c r="I2" s="28"/>
    </row>
    <row r="3" spans="2:9" ht="12.75">
      <c r="B3" s="65"/>
      <c r="C3" s="65"/>
      <c r="D3" s="65"/>
      <c r="E3" s="65"/>
      <c r="F3" s="65"/>
      <c r="G3" s="65"/>
      <c r="H3" s="28"/>
      <c r="I3" s="28"/>
    </row>
    <row r="4" spans="2:7" ht="12.75">
      <c r="B4" s="69"/>
      <c r="C4" s="69"/>
      <c r="D4" s="69"/>
      <c r="E4" s="69"/>
      <c r="F4" s="69"/>
      <c r="G4" s="69"/>
    </row>
    <row r="5" ht="12.75">
      <c r="B5" s="10" t="s">
        <v>57</v>
      </c>
    </row>
    <row r="6" spans="2:5" ht="12.75">
      <c r="B6" s="13" t="s">
        <v>149</v>
      </c>
      <c r="C6" s="13" t="s">
        <v>58</v>
      </c>
      <c r="D6" s="13" t="s">
        <v>59</v>
      </c>
      <c r="E6" s="13" t="s">
        <v>60</v>
      </c>
    </row>
    <row r="7" spans="2:5" ht="12.75">
      <c r="B7" s="13">
        <v>1</v>
      </c>
      <c r="C7" s="13">
        <v>0</v>
      </c>
      <c r="D7" s="13">
        <v>100</v>
      </c>
      <c r="E7" s="13">
        <v>5600</v>
      </c>
    </row>
    <row r="8" spans="2:5" ht="12.75">
      <c r="B8" s="13">
        <v>2</v>
      </c>
      <c r="C8" s="13">
        <v>100</v>
      </c>
      <c r="D8" s="13">
        <v>200</v>
      </c>
      <c r="E8" s="13">
        <v>4000</v>
      </c>
    </row>
    <row r="9" spans="2:5" ht="12.75">
      <c r="B9" s="13">
        <v>3</v>
      </c>
      <c r="C9" s="13">
        <v>200</v>
      </c>
      <c r="D9" s="13">
        <v>300</v>
      </c>
      <c r="E9" s="13">
        <v>3800</v>
      </c>
    </row>
    <row r="10" spans="2:11" ht="12.75">
      <c r="B10" s="13">
        <v>4</v>
      </c>
      <c r="C10" s="13">
        <v>300</v>
      </c>
      <c r="D10" s="13">
        <v>500</v>
      </c>
      <c r="E10" s="13">
        <v>3000</v>
      </c>
      <c r="K10" s="15"/>
    </row>
    <row r="11" spans="2:5" ht="12.75">
      <c r="B11" s="13">
        <v>5</v>
      </c>
      <c r="C11" s="13">
        <v>500</v>
      </c>
      <c r="D11" s="13">
        <v>700</v>
      </c>
      <c r="E11" s="13">
        <v>2500</v>
      </c>
    </row>
    <row r="12" spans="2:5" ht="12.75">
      <c r="B12" s="13">
        <v>6</v>
      </c>
      <c r="C12" s="13">
        <v>700</v>
      </c>
      <c r="D12" s="13">
        <v>3000</v>
      </c>
      <c r="E12" s="13">
        <v>2000</v>
      </c>
    </row>
    <row r="13" ht="12.75"/>
    <row r="14" spans="2:9" ht="12.75">
      <c r="B14" s="65" t="s">
        <v>157</v>
      </c>
      <c r="C14" s="70"/>
      <c r="D14" s="70"/>
      <c r="E14" s="70"/>
      <c r="F14" s="70"/>
      <c r="G14" s="70"/>
      <c r="H14" s="28"/>
      <c r="I14" s="28"/>
    </row>
    <row r="15" spans="2:9" ht="12.75">
      <c r="B15" s="70"/>
      <c r="C15" s="70"/>
      <c r="D15" s="70"/>
      <c r="E15" s="70"/>
      <c r="F15" s="70"/>
      <c r="G15" s="70"/>
      <c r="H15" s="28"/>
      <c r="I15" s="28"/>
    </row>
    <row r="16" spans="2:7" ht="12.75">
      <c r="B16" s="70"/>
      <c r="C16" s="70"/>
      <c r="D16" s="70"/>
      <c r="E16" s="70"/>
      <c r="F16" s="70"/>
      <c r="G16" s="70"/>
    </row>
    <row r="17" spans="1:2" ht="12.75">
      <c r="A17" s="1" t="s">
        <v>0</v>
      </c>
      <c r="B17" s="10" t="s">
        <v>10</v>
      </c>
    </row>
    <row r="18" spans="1:4" ht="12.75">
      <c r="A18" s="12" t="s">
        <v>1</v>
      </c>
      <c r="B18" s="13">
        <v>15000</v>
      </c>
      <c r="C18" s="12" t="s">
        <v>53</v>
      </c>
      <c r="D18" s="14" t="s">
        <v>14</v>
      </c>
    </row>
    <row r="19" spans="1:4" ht="15.75">
      <c r="A19" s="12" t="s">
        <v>2</v>
      </c>
      <c r="B19" s="13">
        <v>3200</v>
      </c>
      <c r="C19" s="12" t="s">
        <v>6</v>
      </c>
      <c r="D19" s="14" t="s">
        <v>15</v>
      </c>
    </row>
    <row r="20" spans="1:4" ht="15.75">
      <c r="A20" s="12" t="s">
        <v>3</v>
      </c>
      <c r="B20" s="13">
        <v>0.24</v>
      </c>
      <c r="C20" s="12" t="s">
        <v>122</v>
      </c>
      <c r="D20" s="14" t="s">
        <v>16</v>
      </c>
    </row>
    <row r="21" spans="1:4" ht="15.75">
      <c r="A21" s="12" t="s">
        <v>8</v>
      </c>
      <c r="B21" s="13">
        <v>6</v>
      </c>
      <c r="C21" s="12" t="s">
        <v>9</v>
      </c>
      <c r="D21" s="14" t="s">
        <v>18</v>
      </c>
    </row>
    <row r="22" ht="12.75">
      <c r="A22" s="18"/>
    </row>
    <row r="23" spans="1:2" ht="15.75">
      <c r="A23" s="1" t="s">
        <v>11</v>
      </c>
      <c r="B23" s="10" t="s">
        <v>22</v>
      </c>
    </row>
    <row r="24" spans="1:3" ht="15.75">
      <c r="A24" s="12" t="s">
        <v>3</v>
      </c>
      <c r="B24" s="13">
        <f>IF(C21="měsíc",B20/12,B20)</f>
        <v>0.02</v>
      </c>
      <c r="C24" s="12" t="s">
        <v>148</v>
      </c>
    </row>
    <row r="25" ht="12.75"/>
    <row r="26" spans="1:2" ht="12.75">
      <c r="A26" s="1" t="s">
        <v>13</v>
      </c>
      <c r="B26" s="10" t="s">
        <v>69</v>
      </c>
    </row>
    <row r="27" spans="1:11" ht="15.75">
      <c r="A27" s="26" t="s">
        <v>149</v>
      </c>
      <c r="B27" s="26" t="s">
        <v>58</v>
      </c>
      <c r="C27" s="26" t="s">
        <v>59</v>
      </c>
      <c r="D27" s="26" t="s">
        <v>60</v>
      </c>
      <c r="E27" s="3" t="s">
        <v>61</v>
      </c>
      <c r="F27" s="3" t="s">
        <v>62</v>
      </c>
      <c r="G27" s="3" t="s">
        <v>65</v>
      </c>
      <c r="H27" s="3" t="s">
        <v>150</v>
      </c>
      <c r="I27" s="3" t="s">
        <v>66</v>
      </c>
      <c r="J27" s="3" t="s">
        <v>67</v>
      </c>
      <c r="K27" s="3" t="s">
        <v>68</v>
      </c>
    </row>
    <row r="28" spans="1:11" ht="12.75">
      <c r="A28" s="27">
        <v>1</v>
      </c>
      <c r="B28" s="27">
        <v>0</v>
      </c>
      <c r="C28" s="27">
        <v>100</v>
      </c>
      <c r="D28" s="27">
        <v>5600</v>
      </c>
      <c r="E28" s="4">
        <f aca="true" t="shared" si="0" ref="E28:E33">ROUND(SQRT((2*$B$18*$B$19)/($B$21*E7*$B$24)),0)</f>
        <v>378</v>
      </c>
      <c r="F28" s="4" t="str">
        <f aca="true" t="shared" si="1" ref="F28:F33">IF(AND(E28&gt;=B28,E28&lt;=C28),"ano","ne")</f>
        <v>ne</v>
      </c>
      <c r="G28" s="25">
        <f aca="true" t="shared" si="2" ref="G28:G33">0.5*$B$21*$B$24*($B$19+D28*E28)+($B$18/E28)*($B$19+D28*E28)</f>
        <v>84254184.12698413</v>
      </c>
      <c r="H28" s="25">
        <f>0.5*$B$21*$B$24*($B$19+C28*D29)+($B$18/C28)*($B$19+C28*D29)</f>
        <v>60504192</v>
      </c>
      <c r="I28" s="25" t="str">
        <f aca="true" t="shared" si="3" ref="I28:I33">IF(AND(F28="ano",G28&lt;H28),E28,IF(AND(F28="ano",G28&gt;H28),C28,"-"))</f>
        <v>-</v>
      </c>
      <c r="J28" s="25" t="str">
        <f>IF(I28&lt;&gt;"-",ROUND($B$18/I28,0),"-")</f>
        <v>-</v>
      </c>
      <c r="K28" s="25" t="str">
        <f>IF(I28&lt;&gt;"-",ROUND($B$21/J28*30,0),"-")</f>
        <v>-</v>
      </c>
    </row>
    <row r="29" spans="1:11" ht="12.75">
      <c r="A29" s="27">
        <v>2</v>
      </c>
      <c r="B29" s="27">
        <v>100</v>
      </c>
      <c r="C29" s="27">
        <v>200</v>
      </c>
      <c r="D29" s="27">
        <v>4000</v>
      </c>
      <c r="E29" s="4">
        <f t="shared" si="0"/>
        <v>447</v>
      </c>
      <c r="F29" s="4" t="str">
        <f t="shared" si="1"/>
        <v>ne</v>
      </c>
      <c r="G29" s="25">
        <f t="shared" si="2"/>
        <v>60214854.55033557</v>
      </c>
      <c r="H29" s="25">
        <f>0.5*$B$21*$B$24*($B$19+C29*D30)+($B$18/C29)*($B$19+C29*D30)</f>
        <v>57285792</v>
      </c>
      <c r="I29" s="25" t="str">
        <f t="shared" si="3"/>
        <v>-</v>
      </c>
      <c r="J29" s="25" t="str">
        <f>IF(I29&lt;&gt;"-",ROUND($B$18/I29,0),"-")</f>
        <v>-</v>
      </c>
      <c r="K29" s="25" t="str">
        <f>IF(I29&lt;&gt;"-",ROUND($B$21/J29*30,0),"-")</f>
        <v>-</v>
      </c>
    </row>
    <row r="30" spans="1:11" ht="12.75">
      <c r="A30" s="27">
        <v>3</v>
      </c>
      <c r="B30" s="27">
        <v>200</v>
      </c>
      <c r="C30" s="27">
        <v>300</v>
      </c>
      <c r="D30" s="27">
        <v>3800</v>
      </c>
      <c r="E30" s="4">
        <f t="shared" si="0"/>
        <v>459</v>
      </c>
      <c r="F30" s="4" t="str">
        <f t="shared" si="1"/>
        <v>ne</v>
      </c>
      <c r="G30" s="25">
        <f t="shared" si="2"/>
        <v>57209419.16339869</v>
      </c>
      <c r="H30" s="25">
        <f>0.5*$B$21*$B$24*($B$19+C30*D31)+($B$18/C30)*($B$19+C30*D31)</f>
        <v>45214192</v>
      </c>
      <c r="I30" s="25" t="str">
        <f t="shared" si="3"/>
        <v>-</v>
      </c>
      <c r="J30" s="25" t="str">
        <f>IF(I30&lt;&gt;"-",ROUND($B$18/I30,0),"-")</f>
        <v>-</v>
      </c>
      <c r="K30" s="25" t="str">
        <f>IF(I30&lt;&gt;"-",ROUND($B$21/J30*30,0),"-")</f>
        <v>-</v>
      </c>
    </row>
    <row r="31" spans="1:11" ht="12.75">
      <c r="A31" s="27">
        <v>4</v>
      </c>
      <c r="B31" s="27">
        <v>300</v>
      </c>
      <c r="C31" s="27">
        <v>500</v>
      </c>
      <c r="D31" s="27">
        <v>3000</v>
      </c>
      <c r="E31" s="4">
        <f t="shared" si="0"/>
        <v>516</v>
      </c>
      <c r="F31" s="4" t="str">
        <f t="shared" si="1"/>
        <v>ne</v>
      </c>
      <c r="G31" s="25">
        <f t="shared" si="2"/>
        <v>45186095.25581395</v>
      </c>
      <c r="H31" s="25">
        <f>0.5*$B$21*$B$24*($B$19+C31*D32)+($B$18/C31)*($B$19+C31*D32)</f>
        <v>37671192</v>
      </c>
      <c r="I31" s="25" t="str">
        <f t="shared" si="3"/>
        <v>-</v>
      </c>
      <c r="J31" s="25" t="str">
        <f>IF(I31&lt;&gt;"-",ROUND($B$18/I31,0),"-")</f>
        <v>-</v>
      </c>
      <c r="K31" s="25" t="str">
        <f>IF(I31&lt;&gt;"-",ROUND($B$21/J31*30,0),"-")</f>
        <v>-</v>
      </c>
    </row>
    <row r="32" spans="1:11" ht="12.75">
      <c r="A32" s="27">
        <v>5</v>
      </c>
      <c r="B32" s="27">
        <v>500</v>
      </c>
      <c r="C32" s="27">
        <v>700</v>
      </c>
      <c r="D32" s="27">
        <v>2500</v>
      </c>
      <c r="E32" s="4">
        <f t="shared" si="0"/>
        <v>566</v>
      </c>
      <c r="F32" s="4" t="str">
        <f t="shared" si="1"/>
        <v>ano</v>
      </c>
      <c r="G32" s="25">
        <f t="shared" si="2"/>
        <v>37669897.653710246</v>
      </c>
      <c r="H32" s="25">
        <f>0.5*$B$21*$B$24*($B$19+C32*D33)+($B$18/C32)*($B$19+C32*D33)</f>
        <v>30152763.428571425</v>
      </c>
      <c r="I32" s="25">
        <f t="shared" si="3"/>
        <v>700</v>
      </c>
      <c r="J32" s="25">
        <f>IF(I32&lt;&gt;"-",$B$18/I32,"-")</f>
        <v>21.428571428571427</v>
      </c>
      <c r="K32" s="25">
        <f>IF(I32&lt;&gt;"-",$B$21/J32*30,"-")</f>
        <v>8.4</v>
      </c>
    </row>
    <row r="33" spans="1:11" ht="12.75">
      <c r="A33" s="27">
        <v>6</v>
      </c>
      <c r="B33" s="27">
        <v>700</v>
      </c>
      <c r="C33" s="27">
        <v>3000</v>
      </c>
      <c r="D33" s="27">
        <v>2000</v>
      </c>
      <c r="E33" s="4">
        <f t="shared" si="0"/>
        <v>632</v>
      </c>
      <c r="F33" s="4" t="str">
        <f t="shared" si="1"/>
        <v>ne</v>
      </c>
      <c r="G33" s="25">
        <f t="shared" si="2"/>
        <v>30151981.36708861</v>
      </c>
      <c r="H33" s="25"/>
      <c r="I33" s="25" t="str">
        <f t="shared" si="3"/>
        <v>-</v>
      </c>
      <c r="J33" s="25" t="str">
        <f>IF(I33&lt;&gt;"-",ROUND($B$18/I33,0),"-")</f>
        <v>-</v>
      </c>
      <c r="K33" s="25" t="str">
        <f>IF(I33&lt;&gt;"-",ROUND($B$21/J33*30,0),"-")</f>
        <v>-</v>
      </c>
    </row>
    <row r="35" spans="1:11" ht="12.75">
      <c r="A35" s="66" t="s">
        <v>63</v>
      </c>
      <c r="B35" s="67"/>
      <c r="C35" s="67"/>
      <c r="D35" s="67"/>
      <c r="E35" s="68" t="s">
        <v>64</v>
      </c>
      <c r="F35" s="67"/>
      <c r="G35" s="67"/>
      <c r="H35" s="67"/>
      <c r="I35" s="67"/>
      <c r="J35" s="67"/>
      <c r="K35" s="67"/>
    </row>
    <row r="37" spans="1:2" ht="12.75">
      <c r="A37" s="1" t="s">
        <v>37</v>
      </c>
      <c r="B37" s="10" t="s">
        <v>123</v>
      </c>
    </row>
    <row r="38" spans="1:7" ht="12.75">
      <c r="A38" s="22" t="s">
        <v>31</v>
      </c>
      <c r="B38" s="22" t="s">
        <v>124</v>
      </c>
      <c r="C38" s="22" t="s">
        <v>125</v>
      </c>
      <c r="D38" s="22" t="s">
        <v>126</v>
      </c>
      <c r="E38" s="22" t="s">
        <v>127</v>
      </c>
      <c r="F38" s="22" t="s">
        <v>128</v>
      </c>
      <c r="G38" s="22" t="s">
        <v>129</v>
      </c>
    </row>
    <row r="39" spans="1:7" ht="12.75">
      <c r="A39" s="13">
        <v>5</v>
      </c>
      <c r="B39" s="13">
        <f aca="true" t="shared" si="4" ref="B39:B70">0.5*$B$21*$B$24*($B$19+$D$28*A39)+($B$18/A39)*($B$19+$D$28*A39)</f>
        <v>93601872</v>
      </c>
      <c r="C39" s="13">
        <f aca="true" t="shared" si="5" ref="C39:C70">0.5*$B$21*$B$24*($B$19+$D$29*A39)+($B$18/A39)*($B$19+$D$29*A39)</f>
        <v>69601392</v>
      </c>
      <c r="D39" s="13">
        <f aca="true" t="shared" si="6" ref="D39:D70">0.5*$B$21*$B$24*($B$19+$D$30*A39)+($B$18/A39)*($B$19+$D$30*A39)</f>
        <v>66601332</v>
      </c>
      <c r="E39" s="13">
        <f aca="true" t="shared" si="7" ref="E39:E70">0.5*$B$21*$B$24*($B$19+$D$31*A39)+($B$18/A39)*($B$19+$D$31*A39)</f>
        <v>54601092</v>
      </c>
      <c r="F39" s="13">
        <f aca="true" t="shared" si="8" ref="F39:F70">0.5*$B$21*$B$24*($B$19+$D$32*A39)+($B$18/A39)*($B$19+$D$32*A39)</f>
        <v>47100942</v>
      </c>
      <c r="G39" s="13">
        <f aca="true" t="shared" si="9" ref="G39:G70">0.5*$B$21*$B$24*($B$19+$D$33*A39)+($B$18/A39)*($B$19+$D$33*A39)</f>
        <v>39600792</v>
      </c>
    </row>
    <row r="40" spans="1:7" ht="12.75">
      <c r="A40" s="13">
        <v>10</v>
      </c>
      <c r="B40" s="13">
        <f t="shared" si="4"/>
        <v>88803552</v>
      </c>
      <c r="C40" s="13">
        <f t="shared" si="5"/>
        <v>64802592</v>
      </c>
      <c r="D40" s="13">
        <f t="shared" si="6"/>
        <v>61802472</v>
      </c>
      <c r="E40" s="13">
        <f t="shared" si="7"/>
        <v>49801992</v>
      </c>
      <c r="F40" s="13">
        <f t="shared" si="8"/>
        <v>42301692</v>
      </c>
      <c r="G40" s="13">
        <f t="shared" si="9"/>
        <v>34801392</v>
      </c>
    </row>
    <row r="41" spans="1:7" ht="12.75">
      <c r="A41" s="13">
        <v>20</v>
      </c>
      <c r="B41" s="13">
        <f t="shared" si="4"/>
        <v>86406912</v>
      </c>
      <c r="C41" s="13">
        <f t="shared" si="5"/>
        <v>62404992</v>
      </c>
      <c r="D41" s="13">
        <f t="shared" si="6"/>
        <v>59404752</v>
      </c>
      <c r="E41" s="13">
        <f t="shared" si="7"/>
        <v>47403792</v>
      </c>
      <c r="F41" s="13">
        <f t="shared" si="8"/>
        <v>39903192</v>
      </c>
      <c r="G41" s="13">
        <f t="shared" si="9"/>
        <v>32402592</v>
      </c>
    </row>
    <row r="42" spans="1:7" ht="12.75">
      <c r="A42" s="13">
        <v>30</v>
      </c>
      <c r="B42" s="13">
        <f t="shared" si="4"/>
        <v>85610272</v>
      </c>
      <c r="C42" s="13">
        <f t="shared" si="5"/>
        <v>61607392</v>
      </c>
      <c r="D42" s="13">
        <f t="shared" si="6"/>
        <v>58607032</v>
      </c>
      <c r="E42" s="13">
        <f t="shared" si="7"/>
        <v>46605592</v>
      </c>
      <c r="F42" s="13">
        <f t="shared" si="8"/>
        <v>39104692</v>
      </c>
      <c r="G42" s="13">
        <f t="shared" si="9"/>
        <v>31603792</v>
      </c>
    </row>
    <row r="43" spans="1:7" ht="12.75">
      <c r="A43" s="13">
        <v>40</v>
      </c>
      <c r="B43" s="13">
        <f t="shared" si="4"/>
        <v>85213632</v>
      </c>
      <c r="C43" s="13">
        <f t="shared" si="5"/>
        <v>61209792</v>
      </c>
      <c r="D43" s="13">
        <f t="shared" si="6"/>
        <v>58209312</v>
      </c>
      <c r="E43" s="13">
        <f t="shared" si="7"/>
        <v>46207392</v>
      </c>
      <c r="F43" s="13">
        <f t="shared" si="8"/>
        <v>38706192</v>
      </c>
      <c r="G43" s="13">
        <f t="shared" si="9"/>
        <v>31204992</v>
      </c>
    </row>
    <row r="44" spans="1:7" ht="12.75">
      <c r="A44" s="13">
        <v>50</v>
      </c>
      <c r="B44" s="13">
        <f t="shared" si="4"/>
        <v>84976992</v>
      </c>
      <c r="C44" s="13">
        <f t="shared" si="5"/>
        <v>60972192</v>
      </c>
      <c r="D44" s="13">
        <f t="shared" si="6"/>
        <v>57971592</v>
      </c>
      <c r="E44" s="13">
        <f t="shared" si="7"/>
        <v>45969192</v>
      </c>
      <c r="F44" s="13">
        <f t="shared" si="8"/>
        <v>38467692</v>
      </c>
      <c r="G44" s="13">
        <f t="shared" si="9"/>
        <v>30966192</v>
      </c>
    </row>
    <row r="45" spans="1:7" ht="12.75">
      <c r="A45" s="13">
        <v>60</v>
      </c>
      <c r="B45" s="13">
        <f t="shared" si="4"/>
        <v>84820352</v>
      </c>
      <c r="C45" s="13">
        <f t="shared" si="5"/>
        <v>60814592</v>
      </c>
      <c r="D45" s="13">
        <f t="shared" si="6"/>
        <v>57813872</v>
      </c>
      <c r="E45" s="13">
        <f t="shared" si="7"/>
        <v>45810992</v>
      </c>
      <c r="F45" s="13">
        <f t="shared" si="8"/>
        <v>38309192</v>
      </c>
      <c r="G45" s="13">
        <f t="shared" si="9"/>
        <v>30807392</v>
      </c>
    </row>
    <row r="46" spans="1:7" ht="12.75">
      <c r="A46" s="13">
        <v>70</v>
      </c>
      <c r="B46" s="13">
        <f t="shared" si="4"/>
        <v>84709426.28571428</v>
      </c>
      <c r="C46" s="13">
        <f t="shared" si="5"/>
        <v>60702706.28571428</v>
      </c>
      <c r="D46" s="13">
        <f t="shared" si="6"/>
        <v>57701866.28571428</v>
      </c>
      <c r="E46" s="13">
        <f t="shared" si="7"/>
        <v>45698506.28571428</v>
      </c>
      <c r="F46" s="13">
        <f t="shared" si="8"/>
        <v>38196406.28571428</v>
      </c>
      <c r="G46" s="13">
        <f t="shared" si="9"/>
        <v>30694306.285714284</v>
      </c>
    </row>
    <row r="47" spans="1:7" ht="12.75">
      <c r="A47" s="13">
        <v>80</v>
      </c>
      <c r="B47" s="13">
        <f t="shared" si="4"/>
        <v>84627072</v>
      </c>
      <c r="C47" s="13">
        <f t="shared" si="5"/>
        <v>60619392</v>
      </c>
      <c r="D47" s="13">
        <f t="shared" si="6"/>
        <v>57618432</v>
      </c>
      <c r="E47" s="13">
        <f t="shared" si="7"/>
        <v>45614592</v>
      </c>
      <c r="F47" s="13">
        <f t="shared" si="8"/>
        <v>38112192</v>
      </c>
      <c r="G47" s="13">
        <f t="shared" si="9"/>
        <v>30609792</v>
      </c>
    </row>
    <row r="48" spans="1:7" ht="12.75">
      <c r="A48" s="13">
        <v>90</v>
      </c>
      <c r="B48" s="13">
        <f t="shared" si="4"/>
        <v>84563765.33333333</v>
      </c>
      <c r="C48" s="13">
        <f t="shared" si="5"/>
        <v>60555125.33333333</v>
      </c>
      <c r="D48" s="13">
        <f t="shared" si="6"/>
        <v>57554045.33333333</v>
      </c>
      <c r="E48" s="13">
        <f t="shared" si="7"/>
        <v>45549725.33333333</v>
      </c>
      <c r="F48" s="13">
        <f t="shared" si="8"/>
        <v>38047025.33333333</v>
      </c>
      <c r="G48" s="13">
        <f t="shared" si="9"/>
        <v>30544325.333333332</v>
      </c>
    </row>
    <row r="49" spans="1:7" ht="12.75">
      <c r="A49" s="13">
        <v>100</v>
      </c>
      <c r="B49" s="13">
        <f t="shared" si="4"/>
        <v>84513792</v>
      </c>
      <c r="C49" s="13">
        <f t="shared" si="5"/>
        <v>60504192</v>
      </c>
      <c r="D49" s="13">
        <f t="shared" si="6"/>
        <v>57502992</v>
      </c>
      <c r="E49" s="13">
        <f t="shared" si="7"/>
        <v>45498192</v>
      </c>
      <c r="F49" s="13">
        <f t="shared" si="8"/>
        <v>37995192</v>
      </c>
      <c r="G49" s="13">
        <f t="shared" si="9"/>
        <v>30492192</v>
      </c>
    </row>
    <row r="50" spans="1:7" ht="12.75">
      <c r="A50" s="13">
        <v>110</v>
      </c>
      <c r="B50" s="13">
        <f t="shared" si="4"/>
        <v>84473515.63636364</v>
      </c>
      <c r="C50" s="13">
        <f t="shared" si="5"/>
        <v>60462955.63636364</v>
      </c>
      <c r="D50" s="13">
        <f t="shared" si="6"/>
        <v>57461635.63636364</v>
      </c>
      <c r="E50" s="13">
        <f t="shared" si="7"/>
        <v>45456355.63636364</v>
      </c>
      <c r="F50" s="13">
        <f t="shared" si="8"/>
        <v>37953055.63636364</v>
      </c>
      <c r="G50" s="13">
        <f t="shared" si="9"/>
        <v>30449755.63636364</v>
      </c>
    </row>
    <row r="51" spans="1:7" ht="12.75">
      <c r="A51" s="13">
        <v>120</v>
      </c>
      <c r="B51" s="13">
        <f t="shared" si="4"/>
        <v>84440512</v>
      </c>
      <c r="C51" s="13">
        <f t="shared" si="5"/>
        <v>60428992</v>
      </c>
      <c r="D51" s="13">
        <f t="shared" si="6"/>
        <v>57427552</v>
      </c>
      <c r="E51" s="13">
        <f t="shared" si="7"/>
        <v>45421792</v>
      </c>
      <c r="F51" s="13">
        <f t="shared" si="8"/>
        <v>37918192</v>
      </c>
      <c r="G51" s="13">
        <f t="shared" si="9"/>
        <v>30414592</v>
      </c>
    </row>
    <row r="52" spans="1:7" ht="12.75">
      <c r="A52" s="13">
        <v>130</v>
      </c>
      <c r="B52" s="13">
        <f t="shared" si="4"/>
        <v>84413102.76923077</v>
      </c>
      <c r="C52" s="13">
        <f t="shared" si="5"/>
        <v>60400622.76923077</v>
      </c>
      <c r="D52" s="13">
        <f t="shared" si="6"/>
        <v>57399062.76923077</v>
      </c>
      <c r="E52" s="13">
        <f t="shared" si="7"/>
        <v>45392822.76923077</v>
      </c>
      <c r="F52" s="13">
        <f t="shared" si="8"/>
        <v>37888922.76923077</v>
      </c>
      <c r="G52" s="13">
        <f t="shared" si="9"/>
        <v>30385022.769230768</v>
      </c>
    </row>
    <row r="53" spans="1:7" ht="12.75">
      <c r="A53" s="13">
        <v>140</v>
      </c>
      <c r="B53" s="13">
        <f t="shared" si="4"/>
        <v>84390089.14285713</v>
      </c>
      <c r="C53" s="13">
        <f t="shared" si="5"/>
        <v>60376649.14285714</v>
      </c>
      <c r="D53" s="13">
        <f t="shared" si="6"/>
        <v>57374969.14285714</v>
      </c>
      <c r="E53" s="13">
        <f t="shared" si="7"/>
        <v>45368249.14285714</v>
      </c>
      <c r="F53" s="13">
        <f t="shared" si="8"/>
        <v>37864049.14285714</v>
      </c>
      <c r="G53" s="13">
        <f t="shared" si="9"/>
        <v>30359849.14285714</v>
      </c>
    </row>
    <row r="54" spans="1:7" ht="12.75">
      <c r="A54" s="13">
        <v>150</v>
      </c>
      <c r="B54" s="13">
        <f t="shared" si="4"/>
        <v>84370592</v>
      </c>
      <c r="C54" s="13">
        <f t="shared" si="5"/>
        <v>60356192</v>
      </c>
      <c r="D54" s="13">
        <f t="shared" si="6"/>
        <v>57354392</v>
      </c>
      <c r="E54" s="13">
        <f t="shared" si="7"/>
        <v>45347192</v>
      </c>
      <c r="F54" s="13">
        <f t="shared" si="8"/>
        <v>37842692</v>
      </c>
      <c r="G54" s="13">
        <f t="shared" si="9"/>
        <v>30338192</v>
      </c>
    </row>
    <row r="55" spans="1:7" ht="12.75">
      <c r="A55" s="13">
        <v>160</v>
      </c>
      <c r="B55" s="13">
        <f t="shared" si="4"/>
        <v>84353952</v>
      </c>
      <c r="C55" s="13">
        <f t="shared" si="5"/>
        <v>60338592</v>
      </c>
      <c r="D55" s="13">
        <f t="shared" si="6"/>
        <v>57336672</v>
      </c>
      <c r="E55" s="13">
        <f t="shared" si="7"/>
        <v>45328992</v>
      </c>
      <c r="F55" s="13">
        <f t="shared" si="8"/>
        <v>37824192</v>
      </c>
      <c r="G55" s="13">
        <f t="shared" si="9"/>
        <v>30319392</v>
      </c>
    </row>
    <row r="56" spans="1:7" ht="12.75">
      <c r="A56" s="13">
        <v>170</v>
      </c>
      <c r="B56" s="13">
        <f t="shared" si="4"/>
        <v>84339664.94117647</v>
      </c>
      <c r="C56" s="13">
        <f t="shared" si="5"/>
        <v>60323344.94117647</v>
      </c>
      <c r="D56" s="13">
        <f t="shared" si="6"/>
        <v>57321304.94117647</v>
      </c>
      <c r="E56" s="13">
        <f t="shared" si="7"/>
        <v>45313144.94117647</v>
      </c>
      <c r="F56" s="13">
        <f t="shared" si="8"/>
        <v>37808044.94117647</v>
      </c>
      <c r="G56" s="13">
        <f t="shared" si="9"/>
        <v>30302944.94117647</v>
      </c>
    </row>
    <row r="57" spans="1:7" ht="12.75">
      <c r="A57" s="13">
        <v>180</v>
      </c>
      <c r="B57" s="13">
        <f t="shared" si="4"/>
        <v>84327338.66666666</v>
      </c>
      <c r="C57" s="13">
        <f t="shared" si="5"/>
        <v>60310058.666666664</v>
      </c>
      <c r="D57" s="13">
        <f t="shared" si="6"/>
        <v>57307898.666666664</v>
      </c>
      <c r="E57" s="13">
        <f t="shared" si="7"/>
        <v>45299258.666666664</v>
      </c>
      <c r="F57" s="13">
        <f t="shared" si="8"/>
        <v>37793858.666666664</v>
      </c>
      <c r="G57" s="13">
        <f t="shared" si="9"/>
        <v>30288458.666666664</v>
      </c>
    </row>
    <row r="58" spans="1:7" ht="12.75">
      <c r="A58" s="13">
        <v>190</v>
      </c>
      <c r="B58" s="13">
        <f t="shared" si="4"/>
        <v>84316663.57894737</v>
      </c>
      <c r="C58" s="13">
        <f t="shared" si="5"/>
        <v>60298423.578947365</v>
      </c>
      <c r="D58" s="13">
        <f t="shared" si="6"/>
        <v>57296143.578947365</v>
      </c>
      <c r="E58" s="13">
        <f t="shared" si="7"/>
        <v>45287023.578947365</v>
      </c>
      <c r="F58" s="13">
        <f t="shared" si="8"/>
        <v>37781323.578947365</v>
      </c>
      <c r="G58" s="13">
        <f t="shared" si="9"/>
        <v>30275623.57894737</v>
      </c>
    </row>
    <row r="59" spans="1:7" ht="12.75">
      <c r="A59" s="13">
        <v>200</v>
      </c>
      <c r="B59" s="13">
        <f t="shared" si="4"/>
        <v>84307392</v>
      </c>
      <c r="C59" s="13">
        <f t="shared" si="5"/>
        <v>60288192</v>
      </c>
      <c r="D59" s="13">
        <f t="shared" si="6"/>
        <v>57285792</v>
      </c>
      <c r="E59" s="13">
        <f t="shared" si="7"/>
        <v>45276192</v>
      </c>
      <c r="F59" s="13">
        <f t="shared" si="8"/>
        <v>37770192</v>
      </c>
      <c r="G59" s="13">
        <f t="shared" si="9"/>
        <v>30264192</v>
      </c>
    </row>
    <row r="60" spans="1:7" ht="12.75">
      <c r="A60" s="13">
        <v>210</v>
      </c>
      <c r="B60" s="13">
        <f t="shared" si="4"/>
        <v>84299323.42857143</v>
      </c>
      <c r="C60" s="13">
        <f t="shared" si="5"/>
        <v>60279163.42857143</v>
      </c>
      <c r="D60" s="13">
        <f t="shared" si="6"/>
        <v>57276643.42857143</v>
      </c>
      <c r="E60" s="13">
        <f t="shared" si="7"/>
        <v>45266563.42857143</v>
      </c>
      <c r="F60" s="13">
        <f t="shared" si="8"/>
        <v>37760263.42857143</v>
      </c>
      <c r="G60" s="13">
        <f t="shared" si="9"/>
        <v>30253963.42857143</v>
      </c>
    </row>
    <row r="61" spans="1:7" ht="12.75">
      <c r="A61" s="13">
        <v>220</v>
      </c>
      <c r="B61" s="13">
        <f t="shared" si="4"/>
        <v>84292293.81818183</v>
      </c>
      <c r="C61" s="13">
        <f t="shared" si="5"/>
        <v>60271173.81818182</v>
      </c>
      <c r="D61" s="13">
        <f t="shared" si="6"/>
        <v>57268533.81818182</v>
      </c>
      <c r="E61" s="13">
        <f t="shared" si="7"/>
        <v>45257973.81818182</v>
      </c>
      <c r="F61" s="13">
        <f t="shared" si="8"/>
        <v>37751373.81818182</v>
      </c>
      <c r="G61" s="13">
        <f t="shared" si="9"/>
        <v>30244773.81818182</v>
      </c>
    </row>
    <row r="62" spans="1:7" ht="12.75">
      <c r="A62" s="13">
        <v>230</v>
      </c>
      <c r="B62" s="13">
        <f t="shared" si="4"/>
        <v>84286167.65217392</v>
      </c>
      <c r="C62" s="13">
        <f t="shared" si="5"/>
        <v>60264087.652173914</v>
      </c>
      <c r="D62" s="13">
        <f t="shared" si="6"/>
        <v>57261327.652173914</v>
      </c>
      <c r="E62" s="13">
        <f t="shared" si="7"/>
        <v>45250287.652173914</v>
      </c>
      <c r="F62" s="13">
        <f t="shared" si="8"/>
        <v>37743387.652173914</v>
      </c>
      <c r="G62" s="13">
        <f t="shared" si="9"/>
        <v>30236487.652173914</v>
      </c>
    </row>
    <row r="63" spans="1:7" ht="12.75">
      <c r="A63" s="13">
        <v>240</v>
      </c>
      <c r="B63" s="13">
        <f t="shared" si="4"/>
        <v>84280832</v>
      </c>
      <c r="C63" s="13">
        <f t="shared" si="5"/>
        <v>60257792</v>
      </c>
      <c r="D63" s="13">
        <f t="shared" si="6"/>
        <v>57254912</v>
      </c>
      <c r="E63" s="13">
        <f t="shared" si="7"/>
        <v>45243392</v>
      </c>
      <c r="F63" s="13">
        <f t="shared" si="8"/>
        <v>37736192</v>
      </c>
      <c r="G63" s="13">
        <f t="shared" si="9"/>
        <v>30228992</v>
      </c>
    </row>
    <row r="64" spans="1:7" ht="12.75">
      <c r="A64" s="13">
        <v>250</v>
      </c>
      <c r="B64" s="13">
        <f t="shared" si="4"/>
        <v>84276192</v>
      </c>
      <c r="C64" s="13">
        <f t="shared" si="5"/>
        <v>60252192</v>
      </c>
      <c r="D64" s="13">
        <f t="shared" si="6"/>
        <v>57249192</v>
      </c>
      <c r="E64" s="13">
        <f t="shared" si="7"/>
        <v>45237192</v>
      </c>
      <c r="F64" s="13">
        <f t="shared" si="8"/>
        <v>37729692</v>
      </c>
      <c r="G64" s="13">
        <f t="shared" si="9"/>
        <v>30222192</v>
      </c>
    </row>
    <row r="65" spans="1:7" ht="12.75">
      <c r="A65" s="13">
        <v>260</v>
      </c>
      <c r="B65" s="13">
        <f t="shared" si="4"/>
        <v>84272167.38461539</v>
      </c>
      <c r="C65" s="13">
        <f t="shared" si="5"/>
        <v>60247207.384615384</v>
      </c>
      <c r="D65" s="13">
        <f t="shared" si="6"/>
        <v>57244087.384615384</v>
      </c>
      <c r="E65" s="13">
        <f t="shared" si="7"/>
        <v>45231607.384615384</v>
      </c>
      <c r="F65" s="13">
        <f t="shared" si="8"/>
        <v>37723807.384615384</v>
      </c>
      <c r="G65" s="13">
        <f t="shared" si="9"/>
        <v>30216007.384615384</v>
      </c>
    </row>
    <row r="66" spans="1:7" ht="12.75">
      <c r="A66" s="13">
        <v>270</v>
      </c>
      <c r="B66" s="13">
        <f t="shared" si="4"/>
        <v>84268689.77777778</v>
      </c>
      <c r="C66" s="13">
        <f t="shared" si="5"/>
        <v>60242769.777777776</v>
      </c>
      <c r="D66" s="13">
        <f t="shared" si="6"/>
        <v>57239529.777777776</v>
      </c>
      <c r="E66" s="13">
        <f t="shared" si="7"/>
        <v>45226569.777777776</v>
      </c>
      <c r="F66" s="13">
        <f t="shared" si="8"/>
        <v>37718469.777777776</v>
      </c>
      <c r="G66" s="13">
        <f t="shared" si="9"/>
        <v>30210369.77777778</v>
      </c>
    </row>
    <row r="67" spans="1:7" ht="12.75">
      <c r="A67" s="13">
        <v>280</v>
      </c>
      <c r="B67" s="13">
        <f t="shared" si="4"/>
        <v>84265700.57142857</v>
      </c>
      <c r="C67" s="13">
        <f t="shared" si="5"/>
        <v>60238820.57142857</v>
      </c>
      <c r="D67" s="13">
        <f t="shared" si="6"/>
        <v>57235460.57142857</v>
      </c>
      <c r="E67" s="13">
        <f t="shared" si="7"/>
        <v>45222020.57142857</v>
      </c>
      <c r="F67" s="13">
        <f t="shared" si="8"/>
        <v>37713620.57142857</v>
      </c>
      <c r="G67" s="13">
        <f t="shared" si="9"/>
        <v>30205220.57142857</v>
      </c>
    </row>
    <row r="68" spans="1:7" ht="12.75">
      <c r="A68" s="13">
        <v>290</v>
      </c>
      <c r="B68" s="13">
        <f t="shared" si="4"/>
        <v>84263149.2413793</v>
      </c>
      <c r="C68" s="13">
        <f t="shared" si="5"/>
        <v>60235309.24137931</v>
      </c>
      <c r="D68" s="13">
        <f t="shared" si="6"/>
        <v>57231829.24137931</v>
      </c>
      <c r="E68" s="13">
        <f t="shared" si="7"/>
        <v>45217909.24137931</v>
      </c>
      <c r="F68" s="13">
        <f t="shared" si="8"/>
        <v>37709209.24137931</v>
      </c>
      <c r="G68" s="13">
        <f t="shared" si="9"/>
        <v>30200509.24137931</v>
      </c>
    </row>
    <row r="69" spans="1:7" ht="12.75">
      <c r="A69" s="13">
        <v>300</v>
      </c>
      <c r="B69" s="13">
        <f t="shared" si="4"/>
        <v>84260992</v>
      </c>
      <c r="C69" s="13">
        <f t="shared" si="5"/>
        <v>60232192</v>
      </c>
      <c r="D69" s="13">
        <f t="shared" si="6"/>
        <v>57228592</v>
      </c>
      <c r="E69" s="13">
        <f t="shared" si="7"/>
        <v>45214192</v>
      </c>
      <c r="F69" s="13">
        <f t="shared" si="8"/>
        <v>37705192</v>
      </c>
      <c r="G69" s="13">
        <f t="shared" si="9"/>
        <v>30196192</v>
      </c>
    </row>
    <row r="70" spans="1:7" ht="12.75">
      <c r="A70" s="13">
        <v>310</v>
      </c>
      <c r="B70" s="13">
        <f t="shared" si="4"/>
        <v>84259190.70967743</v>
      </c>
      <c r="C70" s="13">
        <f t="shared" si="5"/>
        <v>60229430.70967742</v>
      </c>
      <c r="D70" s="13">
        <f t="shared" si="6"/>
        <v>57225710.70967742</v>
      </c>
      <c r="E70" s="13">
        <f t="shared" si="7"/>
        <v>45210830.70967742</v>
      </c>
      <c r="F70" s="13">
        <f t="shared" si="8"/>
        <v>37701530.70967742</v>
      </c>
      <c r="G70" s="13">
        <f t="shared" si="9"/>
        <v>30192230.70967742</v>
      </c>
    </row>
    <row r="71" spans="1:7" ht="12.75">
      <c r="A71" s="13">
        <v>320</v>
      </c>
      <c r="B71" s="13">
        <f aca="true" t="shared" si="10" ref="B71:B102">0.5*$B$21*$B$24*($B$19+$D$28*A71)+($B$18/A71)*($B$19+$D$28*A71)</f>
        <v>84257712</v>
      </c>
      <c r="C71" s="13">
        <f aca="true" t="shared" si="11" ref="C71:C102">0.5*$B$21*$B$24*($B$19+$D$29*A71)+($B$18/A71)*($B$19+$D$29*A71)</f>
        <v>60226992</v>
      </c>
      <c r="D71" s="13">
        <f aca="true" t="shared" si="12" ref="D71:D102">0.5*$B$21*$B$24*($B$19+$D$30*A71)+($B$18/A71)*($B$19+$D$30*A71)</f>
        <v>57223152</v>
      </c>
      <c r="E71" s="13">
        <f aca="true" t="shared" si="13" ref="E71:E102">0.5*$B$21*$B$24*($B$19+$D$31*A71)+($B$18/A71)*($B$19+$D$31*A71)</f>
        <v>45207792</v>
      </c>
      <c r="F71" s="13">
        <f aca="true" t="shared" si="14" ref="F71:F102">0.5*$B$21*$B$24*($B$19+$D$32*A71)+($B$18/A71)*($B$19+$D$32*A71)</f>
        <v>37698192</v>
      </c>
      <c r="G71" s="13">
        <f aca="true" t="shared" si="15" ref="G71:G102">0.5*$B$21*$B$24*($B$19+$D$33*A71)+($B$18/A71)*($B$19+$D$33*A71)</f>
        <v>30188592</v>
      </c>
    </row>
    <row r="72" spans="1:7" ht="12.75">
      <c r="A72" s="13">
        <v>330</v>
      </c>
      <c r="B72" s="13">
        <f t="shared" si="10"/>
        <v>84256526.54545455</v>
      </c>
      <c r="C72" s="13">
        <f t="shared" si="11"/>
        <v>60224846.54545455</v>
      </c>
      <c r="D72" s="13">
        <f t="shared" si="12"/>
        <v>57220886.54545455</v>
      </c>
      <c r="E72" s="13">
        <f t="shared" si="13"/>
        <v>45205046.54545455</v>
      </c>
      <c r="F72" s="13">
        <f t="shared" si="14"/>
        <v>37695146.54545455</v>
      </c>
      <c r="G72" s="13">
        <f t="shared" si="15"/>
        <v>30185246.545454543</v>
      </c>
    </row>
    <row r="73" spans="1:7" ht="12.75">
      <c r="A73" s="13">
        <v>340</v>
      </c>
      <c r="B73" s="13">
        <f t="shared" si="10"/>
        <v>84255608.47058824</v>
      </c>
      <c r="C73" s="13">
        <f t="shared" si="11"/>
        <v>60222968.47058824</v>
      </c>
      <c r="D73" s="13">
        <f t="shared" si="12"/>
        <v>57218888.47058824</v>
      </c>
      <c r="E73" s="13">
        <f t="shared" si="13"/>
        <v>45202568.47058824</v>
      </c>
      <c r="F73" s="13">
        <f t="shared" si="14"/>
        <v>37692368.47058824</v>
      </c>
      <c r="G73" s="13">
        <f t="shared" si="15"/>
        <v>30182168.470588233</v>
      </c>
    </row>
    <row r="74" spans="1:7" ht="12.75">
      <c r="A74" s="13">
        <v>350</v>
      </c>
      <c r="B74" s="13">
        <f t="shared" si="10"/>
        <v>84254934.85714285</v>
      </c>
      <c r="C74" s="13">
        <f t="shared" si="11"/>
        <v>60221334.85714285</v>
      </c>
      <c r="D74" s="13">
        <f t="shared" si="12"/>
        <v>57217134.85714285</v>
      </c>
      <c r="E74" s="13">
        <f t="shared" si="13"/>
        <v>45200334.85714285</v>
      </c>
      <c r="F74" s="13">
        <f t="shared" si="14"/>
        <v>37689834.85714285</v>
      </c>
      <c r="G74" s="13">
        <f t="shared" si="15"/>
        <v>30179334.857142854</v>
      </c>
    </row>
    <row r="75" spans="1:7" ht="12.75">
      <c r="A75" s="13">
        <v>360</v>
      </c>
      <c r="B75" s="13">
        <f t="shared" si="10"/>
        <v>84254485.33333333</v>
      </c>
      <c r="C75" s="13">
        <f t="shared" si="11"/>
        <v>60219925.33333333</v>
      </c>
      <c r="D75" s="13">
        <f t="shared" si="12"/>
        <v>57215605.33333333</v>
      </c>
      <c r="E75" s="13">
        <f t="shared" si="13"/>
        <v>45198325.33333333</v>
      </c>
      <c r="F75" s="13">
        <f t="shared" si="14"/>
        <v>37687525.33333333</v>
      </c>
      <c r="G75" s="13">
        <f t="shared" si="15"/>
        <v>30176725.333333332</v>
      </c>
    </row>
    <row r="76" spans="1:7" ht="12.75">
      <c r="A76" s="13">
        <v>370</v>
      </c>
      <c r="B76" s="13">
        <f t="shared" si="10"/>
        <v>84254241.72972973</v>
      </c>
      <c r="C76" s="13">
        <f t="shared" si="11"/>
        <v>60218721.72972973</v>
      </c>
      <c r="D76" s="13">
        <f t="shared" si="12"/>
        <v>57214281.72972973</v>
      </c>
      <c r="E76" s="13">
        <f t="shared" si="13"/>
        <v>45196521.72972973</v>
      </c>
      <c r="F76" s="13">
        <f t="shared" si="14"/>
        <v>37685421.72972973</v>
      </c>
      <c r="G76" s="13">
        <f t="shared" si="15"/>
        <v>30174321.72972973</v>
      </c>
    </row>
    <row r="77" spans="1:7" ht="12.75">
      <c r="A77" s="13">
        <v>380</v>
      </c>
      <c r="B77" s="13">
        <f t="shared" si="10"/>
        <v>84254187.78947368</v>
      </c>
      <c r="C77" s="13">
        <f t="shared" si="11"/>
        <v>60217707.78947368</v>
      </c>
      <c r="D77" s="13">
        <f t="shared" si="12"/>
        <v>57213147.78947368</v>
      </c>
      <c r="E77" s="13">
        <f t="shared" si="13"/>
        <v>45194907.78947368</v>
      </c>
      <c r="F77" s="13">
        <f t="shared" si="14"/>
        <v>37683507.78947368</v>
      </c>
      <c r="G77" s="13">
        <f t="shared" si="15"/>
        <v>30172107.789473683</v>
      </c>
    </row>
    <row r="78" spans="1:7" ht="12.75">
      <c r="A78" s="13">
        <v>390</v>
      </c>
      <c r="B78" s="13">
        <f t="shared" si="10"/>
        <v>84254308.92307691</v>
      </c>
      <c r="C78" s="13">
        <f t="shared" si="11"/>
        <v>60216868.92307692</v>
      </c>
      <c r="D78" s="13">
        <f t="shared" si="12"/>
        <v>57212188.92307692</v>
      </c>
      <c r="E78" s="13">
        <f t="shared" si="13"/>
        <v>45193468.92307692</v>
      </c>
      <c r="F78" s="13">
        <f t="shared" si="14"/>
        <v>37681768.92307692</v>
      </c>
      <c r="G78" s="13">
        <f t="shared" si="15"/>
        <v>30170068.92307692</v>
      </c>
    </row>
    <row r="79" spans="1:7" ht="12.75">
      <c r="A79" s="13">
        <v>400</v>
      </c>
      <c r="B79" s="13">
        <f t="shared" si="10"/>
        <v>84254592</v>
      </c>
      <c r="C79" s="13">
        <f t="shared" si="11"/>
        <v>60216192</v>
      </c>
      <c r="D79" s="13">
        <f t="shared" si="12"/>
        <v>57211392</v>
      </c>
      <c r="E79" s="13">
        <f t="shared" si="13"/>
        <v>45192192</v>
      </c>
      <c r="F79" s="13">
        <f t="shared" si="14"/>
        <v>37680192</v>
      </c>
      <c r="G79" s="13">
        <f t="shared" si="15"/>
        <v>30168192</v>
      </c>
    </row>
    <row r="80" spans="1:7" ht="12.75">
      <c r="A80" s="13">
        <v>410</v>
      </c>
      <c r="B80" s="13">
        <f t="shared" si="10"/>
        <v>84255025.17073171</v>
      </c>
      <c r="C80" s="13">
        <f t="shared" si="11"/>
        <v>60215665.17073171</v>
      </c>
      <c r="D80" s="13">
        <f t="shared" si="12"/>
        <v>57210745.17073171</v>
      </c>
      <c r="E80" s="13">
        <f t="shared" si="13"/>
        <v>45191065.17073171</v>
      </c>
      <c r="F80" s="13">
        <f t="shared" si="14"/>
        <v>37678765.17073171</v>
      </c>
      <c r="G80" s="13">
        <f t="shared" si="15"/>
        <v>30166465.17073171</v>
      </c>
    </row>
    <row r="81" spans="1:7" ht="12.75">
      <c r="A81" s="13">
        <v>420</v>
      </c>
      <c r="B81" s="13">
        <f t="shared" si="10"/>
        <v>84255597.71428572</v>
      </c>
      <c r="C81" s="13">
        <f t="shared" si="11"/>
        <v>60215277.71428572</v>
      </c>
      <c r="D81" s="13">
        <f t="shared" si="12"/>
        <v>57210237.71428572</v>
      </c>
      <c r="E81" s="13">
        <f t="shared" si="13"/>
        <v>45190077.71428572</v>
      </c>
      <c r="F81" s="13">
        <f t="shared" si="14"/>
        <v>37677477.71428572</v>
      </c>
      <c r="G81" s="13">
        <f t="shared" si="15"/>
        <v>30164877.714285716</v>
      </c>
    </row>
    <row r="82" spans="1:7" ht="12.75">
      <c r="A82" s="13">
        <v>430</v>
      </c>
      <c r="B82" s="13">
        <f t="shared" si="10"/>
        <v>84256299.90697674</v>
      </c>
      <c r="C82" s="13">
        <f t="shared" si="11"/>
        <v>60215019.90697674</v>
      </c>
      <c r="D82" s="13">
        <f t="shared" si="12"/>
        <v>57209859.906976745</v>
      </c>
      <c r="E82" s="13">
        <f t="shared" si="13"/>
        <v>45189219.906976745</v>
      </c>
      <c r="F82" s="13">
        <f t="shared" si="14"/>
        <v>37676319.906976745</v>
      </c>
      <c r="G82" s="13">
        <f t="shared" si="15"/>
        <v>30163419.90697674</v>
      </c>
    </row>
    <row r="83" spans="1:7" ht="12.75">
      <c r="A83" s="13">
        <v>440</v>
      </c>
      <c r="B83" s="13">
        <f t="shared" si="10"/>
        <v>84257122.90909092</v>
      </c>
      <c r="C83" s="13">
        <f t="shared" si="11"/>
        <v>60214882.909090914</v>
      </c>
      <c r="D83" s="13">
        <f t="shared" si="12"/>
        <v>57209602.909090914</v>
      </c>
      <c r="E83" s="13">
        <f t="shared" si="13"/>
        <v>45188482.909090914</v>
      </c>
      <c r="F83" s="13">
        <f t="shared" si="14"/>
        <v>37675282.909090914</v>
      </c>
      <c r="G83" s="13">
        <f t="shared" si="15"/>
        <v>30162082.90909091</v>
      </c>
    </row>
    <row r="84" spans="1:7" ht="12.75">
      <c r="A84" s="13">
        <v>450</v>
      </c>
      <c r="B84" s="13">
        <f t="shared" si="10"/>
        <v>84258058.66666667</v>
      </c>
      <c r="C84" s="13">
        <f t="shared" si="11"/>
        <v>60214858.66666667</v>
      </c>
      <c r="D84" s="13">
        <f t="shared" si="12"/>
        <v>57209458.66666667</v>
      </c>
      <c r="E84" s="13">
        <f t="shared" si="13"/>
        <v>45187858.66666667</v>
      </c>
      <c r="F84" s="13">
        <f t="shared" si="14"/>
        <v>37674358.66666667</v>
      </c>
      <c r="G84" s="13">
        <f t="shared" si="15"/>
        <v>30160858.666666668</v>
      </c>
    </row>
    <row r="85" spans="1:7" ht="12.75">
      <c r="A85" s="13">
        <v>460</v>
      </c>
      <c r="B85" s="13">
        <f t="shared" si="10"/>
        <v>84259099.82608695</v>
      </c>
      <c r="C85" s="13">
        <f t="shared" si="11"/>
        <v>60214939.82608696</v>
      </c>
      <c r="D85" s="13">
        <f t="shared" si="12"/>
        <v>57209419.82608696</v>
      </c>
      <c r="E85" s="13">
        <f t="shared" si="13"/>
        <v>45187339.82608696</v>
      </c>
      <c r="F85" s="13">
        <f t="shared" si="14"/>
        <v>37673539.82608696</v>
      </c>
      <c r="G85" s="13">
        <f t="shared" si="15"/>
        <v>30159739.826086957</v>
      </c>
    </row>
    <row r="86" spans="1:7" ht="12.75">
      <c r="A86" s="13">
        <v>470</v>
      </c>
      <c r="B86" s="13">
        <f t="shared" si="10"/>
        <v>84260239.65957446</v>
      </c>
      <c r="C86" s="13">
        <f t="shared" si="11"/>
        <v>60215119.65957447</v>
      </c>
      <c r="D86" s="13">
        <f t="shared" si="12"/>
        <v>57209479.65957447</v>
      </c>
      <c r="E86" s="13">
        <f t="shared" si="13"/>
        <v>45186919.65957447</v>
      </c>
      <c r="F86" s="13">
        <f t="shared" si="14"/>
        <v>37672819.65957447</v>
      </c>
      <c r="G86" s="13">
        <f t="shared" si="15"/>
        <v>30158719.659574468</v>
      </c>
    </row>
    <row r="87" spans="1:7" ht="12.75">
      <c r="A87" s="13">
        <v>480</v>
      </c>
      <c r="B87" s="13">
        <f t="shared" si="10"/>
        <v>84261472</v>
      </c>
      <c r="C87" s="13">
        <f t="shared" si="11"/>
        <v>60215392</v>
      </c>
      <c r="D87" s="13">
        <f t="shared" si="12"/>
        <v>57209632</v>
      </c>
      <c r="E87" s="13">
        <f t="shared" si="13"/>
        <v>45186592</v>
      </c>
      <c r="F87" s="13">
        <f t="shared" si="14"/>
        <v>37672192</v>
      </c>
      <c r="G87" s="13">
        <f t="shared" si="15"/>
        <v>30157792</v>
      </c>
    </row>
    <row r="88" spans="1:7" ht="12.75">
      <c r="A88" s="13">
        <v>490</v>
      </c>
      <c r="B88" s="13">
        <f t="shared" si="10"/>
        <v>84262791.18367347</v>
      </c>
      <c r="C88" s="13">
        <f t="shared" si="11"/>
        <v>60215751.18367347</v>
      </c>
      <c r="D88" s="13">
        <f t="shared" si="12"/>
        <v>57209871.18367347</v>
      </c>
      <c r="E88" s="13">
        <f t="shared" si="13"/>
        <v>45186351.18367347</v>
      </c>
      <c r="F88" s="13">
        <f t="shared" si="14"/>
        <v>37671651.18367347</v>
      </c>
      <c r="G88" s="13">
        <f t="shared" si="15"/>
        <v>30156951.183673467</v>
      </c>
    </row>
    <row r="89" spans="1:7" ht="12.75">
      <c r="A89" s="13">
        <v>500</v>
      </c>
      <c r="B89" s="13">
        <f t="shared" si="10"/>
        <v>84264192</v>
      </c>
      <c r="C89" s="13">
        <f t="shared" si="11"/>
        <v>60216192</v>
      </c>
      <c r="D89" s="13">
        <f t="shared" si="12"/>
        <v>57210192</v>
      </c>
      <c r="E89" s="13">
        <f t="shared" si="13"/>
        <v>45186192</v>
      </c>
      <c r="F89" s="13">
        <f t="shared" si="14"/>
        <v>37671192</v>
      </c>
      <c r="G89" s="13">
        <f t="shared" si="15"/>
        <v>30156192</v>
      </c>
    </row>
    <row r="90" spans="1:7" ht="12.75">
      <c r="A90" s="13">
        <v>510</v>
      </c>
      <c r="B90" s="13">
        <f t="shared" si="10"/>
        <v>84265669.64705881</v>
      </c>
      <c r="C90" s="13">
        <f t="shared" si="11"/>
        <v>60216709.64705882</v>
      </c>
      <c r="D90" s="13">
        <f t="shared" si="12"/>
        <v>57210589.64705882</v>
      </c>
      <c r="E90" s="13">
        <f t="shared" si="13"/>
        <v>45186109.64705882</v>
      </c>
      <c r="F90" s="13">
        <f t="shared" si="14"/>
        <v>37670809.64705882</v>
      </c>
      <c r="G90" s="13">
        <f t="shared" si="15"/>
        <v>30155509.647058822</v>
      </c>
    </row>
    <row r="91" spans="1:7" ht="12.75">
      <c r="A91" s="13">
        <v>520</v>
      </c>
      <c r="B91" s="13">
        <f t="shared" si="10"/>
        <v>84267219.6923077</v>
      </c>
      <c r="C91" s="13">
        <f t="shared" si="11"/>
        <v>60217299.692307696</v>
      </c>
      <c r="D91" s="13">
        <f t="shared" si="12"/>
        <v>57211059.692307696</v>
      </c>
      <c r="E91" s="13">
        <f t="shared" si="13"/>
        <v>45186099.692307696</v>
      </c>
      <c r="F91" s="13">
        <f t="shared" si="14"/>
        <v>37670499.692307696</v>
      </c>
      <c r="G91" s="13">
        <f t="shared" si="15"/>
        <v>30154899.692307692</v>
      </c>
    </row>
    <row r="92" spans="1:7" ht="12.75">
      <c r="A92" s="13">
        <v>530</v>
      </c>
      <c r="B92" s="13">
        <f t="shared" si="10"/>
        <v>84268838.03773585</v>
      </c>
      <c r="C92" s="13">
        <f t="shared" si="11"/>
        <v>60217958.03773585</v>
      </c>
      <c r="D92" s="13">
        <f t="shared" si="12"/>
        <v>57211598.03773585</v>
      </c>
      <c r="E92" s="13">
        <f t="shared" si="13"/>
        <v>45186158.03773585</v>
      </c>
      <c r="F92" s="13">
        <f t="shared" si="14"/>
        <v>37670258.03773585</v>
      </c>
      <c r="G92" s="13">
        <f t="shared" si="15"/>
        <v>30154358.03773585</v>
      </c>
    </row>
    <row r="93" spans="1:7" ht="12.75">
      <c r="A93" s="13">
        <v>540</v>
      </c>
      <c r="B93" s="13">
        <f t="shared" si="10"/>
        <v>84270520.8888889</v>
      </c>
      <c r="C93" s="13">
        <f t="shared" si="11"/>
        <v>60218680.88888889</v>
      </c>
      <c r="D93" s="13">
        <f t="shared" si="12"/>
        <v>57212200.88888889</v>
      </c>
      <c r="E93" s="13">
        <f t="shared" si="13"/>
        <v>45186280.88888889</v>
      </c>
      <c r="F93" s="13">
        <f t="shared" si="14"/>
        <v>37670080.88888889</v>
      </c>
      <c r="G93" s="13">
        <f t="shared" si="15"/>
        <v>30153880.888888888</v>
      </c>
    </row>
    <row r="94" spans="1:7" ht="12.75">
      <c r="A94" s="13">
        <v>550</v>
      </c>
      <c r="B94" s="13">
        <f t="shared" si="10"/>
        <v>84272264.72727273</v>
      </c>
      <c r="C94" s="13">
        <f t="shared" si="11"/>
        <v>60219464.72727273</v>
      </c>
      <c r="D94" s="13">
        <f t="shared" si="12"/>
        <v>57212864.72727273</v>
      </c>
      <c r="E94" s="13">
        <f t="shared" si="13"/>
        <v>45186464.72727273</v>
      </c>
      <c r="F94" s="13">
        <f t="shared" si="14"/>
        <v>37669964.72727273</v>
      </c>
      <c r="G94" s="13">
        <f t="shared" si="15"/>
        <v>30153464.727272727</v>
      </c>
    </row>
    <row r="95" spans="1:7" ht="12.75">
      <c r="A95" s="13">
        <v>560</v>
      </c>
      <c r="B95" s="13">
        <f t="shared" si="10"/>
        <v>84274066.28571428</v>
      </c>
      <c r="C95" s="13">
        <f t="shared" si="11"/>
        <v>60220306.28571428</v>
      </c>
      <c r="D95" s="13">
        <f t="shared" si="12"/>
        <v>57213586.28571428</v>
      </c>
      <c r="E95" s="13">
        <f t="shared" si="13"/>
        <v>45186706.28571428</v>
      </c>
      <c r="F95" s="13">
        <f t="shared" si="14"/>
        <v>37669906.28571428</v>
      </c>
      <c r="G95" s="13">
        <f t="shared" si="15"/>
        <v>30153106.285714284</v>
      </c>
    </row>
    <row r="96" spans="1:7" ht="12.75">
      <c r="A96" s="13">
        <v>570</v>
      </c>
      <c r="B96" s="13">
        <f t="shared" si="10"/>
        <v>84275922.52631578</v>
      </c>
      <c r="C96" s="13">
        <f t="shared" si="11"/>
        <v>60221202.526315786</v>
      </c>
      <c r="D96" s="13">
        <f t="shared" si="12"/>
        <v>57214362.526315786</v>
      </c>
      <c r="E96" s="13">
        <f t="shared" si="13"/>
        <v>45187002.526315786</v>
      </c>
      <c r="F96" s="13">
        <f t="shared" si="14"/>
        <v>37669902.526315786</v>
      </c>
      <c r="G96" s="13">
        <f t="shared" si="15"/>
        <v>30152802.526315786</v>
      </c>
    </row>
    <row r="97" spans="1:7" ht="12.75">
      <c r="A97" s="13">
        <v>580</v>
      </c>
      <c r="B97" s="13">
        <f t="shared" si="10"/>
        <v>84277830.62068966</v>
      </c>
      <c r="C97" s="13">
        <f t="shared" si="11"/>
        <v>60222150.62068966</v>
      </c>
      <c r="D97" s="13">
        <f t="shared" si="12"/>
        <v>57215190.62068965</v>
      </c>
      <c r="E97" s="13">
        <f t="shared" si="13"/>
        <v>45187350.62068965</v>
      </c>
      <c r="F97" s="13">
        <f t="shared" si="14"/>
        <v>37669950.62068965</v>
      </c>
      <c r="G97" s="13">
        <f t="shared" si="15"/>
        <v>30152550.620689657</v>
      </c>
    </row>
    <row r="98" spans="1:7" ht="12.75">
      <c r="A98" s="13">
        <v>590</v>
      </c>
      <c r="B98" s="13">
        <f t="shared" si="10"/>
        <v>84279787.93220338</v>
      </c>
      <c r="C98" s="13">
        <f t="shared" si="11"/>
        <v>60223147.93220339</v>
      </c>
      <c r="D98" s="13">
        <f t="shared" si="12"/>
        <v>57216067.93220339</v>
      </c>
      <c r="E98" s="13">
        <f t="shared" si="13"/>
        <v>45187747.93220339</v>
      </c>
      <c r="F98" s="13">
        <f t="shared" si="14"/>
        <v>37670047.93220339</v>
      </c>
      <c r="G98" s="13">
        <f t="shared" si="15"/>
        <v>30152347.93220339</v>
      </c>
    </row>
    <row r="99" spans="1:7" ht="12.75">
      <c r="A99" s="13">
        <v>600</v>
      </c>
      <c r="B99" s="13">
        <f t="shared" si="10"/>
        <v>84281792</v>
      </c>
      <c r="C99" s="13">
        <f t="shared" si="11"/>
        <v>60224192</v>
      </c>
      <c r="D99" s="13">
        <f t="shared" si="12"/>
        <v>57216992</v>
      </c>
      <c r="E99" s="13">
        <f t="shared" si="13"/>
        <v>45188192</v>
      </c>
      <c r="F99" s="13">
        <f t="shared" si="14"/>
        <v>37670192</v>
      </c>
      <c r="G99" s="13">
        <f t="shared" si="15"/>
        <v>30152192</v>
      </c>
    </row>
    <row r="100" spans="1:7" ht="12.75">
      <c r="A100" s="13">
        <v>610</v>
      </c>
      <c r="B100" s="13">
        <f t="shared" si="10"/>
        <v>84283840.52459016</v>
      </c>
      <c r="C100" s="13">
        <f t="shared" si="11"/>
        <v>60225280.524590164</v>
      </c>
      <c r="D100" s="13">
        <f t="shared" si="12"/>
        <v>57217960.524590164</v>
      </c>
      <c r="E100" s="13">
        <f t="shared" si="13"/>
        <v>45188680.524590164</v>
      </c>
      <c r="F100" s="13">
        <f t="shared" si="14"/>
        <v>37670380.524590164</v>
      </c>
      <c r="G100" s="13">
        <f t="shared" si="15"/>
        <v>30152080.524590164</v>
      </c>
    </row>
    <row r="101" spans="1:7" ht="12.75">
      <c r="A101" s="13">
        <v>620</v>
      </c>
      <c r="B101" s="13">
        <f t="shared" si="10"/>
        <v>84285931.35483871</v>
      </c>
      <c r="C101" s="13">
        <f t="shared" si="11"/>
        <v>60226411.354838714</v>
      </c>
      <c r="D101" s="13">
        <f t="shared" si="12"/>
        <v>57218971.354838714</v>
      </c>
      <c r="E101" s="13">
        <f t="shared" si="13"/>
        <v>45189211.354838714</v>
      </c>
      <c r="F101" s="13">
        <f t="shared" si="14"/>
        <v>37670611.354838714</v>
      </c>
      <c r="G101" s="13">
        <f t="shared" si="15"/>
        <v>30152011.35483871</v>
      </c>
    </row>
    <row r="102" spans="1:7" ht="12.75">
      <c r="A102" s="13">
        <v>630</v>
      </c>
      <c r="B102" s="13">
        <f t="shared" si="10"/>
        <v>84288062.47619048</v>
      </c>
      <c r="C102" s="13">
        <f t="shared" si="11"/>
        <v>60227582.47619048</v>
      </c>
      <c r="D102" s="13">
        <f t="shared" si="12"/>
        <v>57220022.47619048</v>
      </c>
      <c r="E102" s="13">
        <f t="shared" si="13"/>
        <v>45189782.47619048</v>
      </c>
      <c r="F102" s="13">
        <f t="shared" si="14"/>
        <v>37670882.47619048</v>
      </c>
      <c r="G102" s="13">
        <f t="shared" si="15"/>
        <v>30151982.476190478</v>
      </c>
    </row>
    <row r="103" spans="1:7" ht="12.75">
      <c r="A103" s="13">
        <v>640</v>
      </c>
      <c r="B103" s="13">
        <f aca="true" t="shared" si="16" ref="B103:B134">0.5*$B$21*$B$24*($B$19+$D$28*A103)+($B$18/A103)*($B$19+$D$28*A103)</f>
        <v>84290232</v>
      </c>
      <c r="C103" s="13">
        <f aca="true" t="shared" si="17" ref="C103:C139">0.5*$B$21*$B$24*($B$19+$D$29*A103)+($B$18/A103)*($B$19+$D$29*A103)</f>
        <v>60228792</v>
      </c>
      <c r="D103" s="13">
        <f aca="true" t="shared" si="18" ref="D103:D139">0.5*$B$21*$B$24*($B$19+$D$30*A103)+($B$18/A103)*($B$19+$D$30*A103)</f>
        <v>57221112</v>
      </c>
      <c r="E103" s="13">
        <f aca="true" t="shared" si="19" ref="E103:E139">0.5*$B$21*$B$24*($B$19+$D$31*A103)+($B$18/A103)*($B$19+$D$31*A103)</f>
        <v>45190392</v>
      </c>
      <c r="F103" s="13">
        <f aca="true" t="shared" si="20" ref="F103:F139">0.5*$B$21*$B$24*($B$19+$D$32*A103)+($B$18/A103)*($B$19+$D$32*A103)</f>
        <v>37671192</v>
      </c>
      <c r="G103" s="13">
        <f aca="true" t="shared" si="21" ref="G103:G139">0.5*$B$21*$B$24*($B$19+$D$33*A103)+($B$18/A103)*($B$19+$D$33*A103)</f>
        <v>30151992</v>
      </c>
    </row>
    <row r="104" spans="1:7" ht="12.75">
      <c r="A104" s="13">
        <v>650</v>
      </c>
      <c r="B104" s="13">
        <f t="shared" si="16"/>
        <v>84292438.15384616</v>
      </c>
      <c r="C104" s="13">
        <f t="shared" si="17"/>
        <v>60230038.15384615</v>
      </c>
      <c r="D104" s="13">
        <f t="shared" si="18"/>
        <v>57222238.15384615</v>
      </c>
      <c r="E104" s="13">
        <f t="shared" si="19"/>
        <v>45191038.15384615</v>
      </c>
      <c r="F104" s="13">
        <f t="shared" si="20"/>
        <v>37671538.15384615</v>
      </c>
      <c r="G104" s="13">
        <f t="shared" si="21"/>
        <v>30152038.153846152</v>
      </c>
    </row>
    <row r="105" spans="1:7" ht="12.75">
      <c r="A105" s="13">
        <v>660</v>
      </c>
      <c r="B105" s="13">
        <f t="shared" si="16"/>
        <v>84294679.27272727</v>
      </c>
      <c r="C105" s="13">
        <f t="shared" si="17"/>
        <v>60231319.27272727</v>
      </c>
      <c r="D105" s="13">
        <f t="shared" si="18"/>
        <v>57223399.27272727</v>
      </c>
      <c r="E105" s="13">
        <f t="shared" si="19"/>
        <v>45191719.27272727</v>
      </c>
      <c r="F105" s="13">
        <f t="shared" si="20"/>
        <v>37671919.27272727</v>
      </c>
      <c r="G105" s="13">
        <f t="shared" si="21"/>
        <v>30152119.272727273</v>
      </c>
    </row>
    <row r="106" spans="1:7" ht="12.75">
      <c r="A106" s="13">
        <v>670</v>
      </c>
      <c r="B106" s="13">
        <f t="shared" si="16"/>
        <v>84296953.79104477</v>
      </c>
      <c r="C106" s="13">
        <f t="shared" si="17"/>
        <v>60232633.79104478</v>
      </c>
      <c r="D106" s="13">
        <f t="shared" si="18"/>
        <v>57224593.79104478</v>
      </c>
      <c r="E106" s="13">
        <f t="shared" si="19"/>
        <v>45192433.79104478</v>
      </c>
      <c r="F106" s="13">
        <f t="shared" si="20"/>
        <v>37672333.79104478</v>
      </c>
      <c r="G106" s="13">
        <f t="shared" si="21"/>
        <v>30152233.791044775</v>
      </c>
    </row>
    <row r="107" spans="1:7" ht="12.75">
      <c r="A107" s="13">
        <v>680</v>
      </c>
      <c r="B107" s="13">
        <f t="shared" si="16"/>
        <v>84299260.23529412</v>
      </c>
      <c r="C107" s="13">
        <f t="shared" si="17"/>
        <v>60233980.23529412</v>
      </c>
      <c r="D107" s="13">
        <f t="shared" si="18"/>
        <v>57225820.23529412</v>
      </c>
      <c r="E107" s="13">
        <f t="shared" si="19"/>
        <v>45193180.23529412</v>
      </c>
      <c r="F107" s="13">
        <f t="shared" si="20"/>
        <v>37672780.23529412</v>
      </c>
      <c r="G107" s="13">
        <f t="shared" si="21"/>
        <v>30152380.23529412</v>
      </c>
    </row>
    <row r="108" spans="1:7" ht="12.75">
      <c r="A108" s="13">
        <v>690</v>
      </c>
      <c r="B108" s="13">
        <f t="shared" si="16"/>
        <v>84301597.21739131</v>
      </c>
      <c r="C108" s="13">
        <f t="shared" si="17"/>
        <v>60235357.217391305</v>
      </c>
      <c r="D108" s="13">
        <f t="shared" si="18"/>
        <v>57227077.217391305</v>
      </c>
      <c r="E108" s="13">
        <f t="shared" si="19"/>
        <v>45193957.217391305</v>
      </c>
      <c r="F108" s="13">
        <f t="shared" si="20"/>
        <v>37673257.217391305</v>
      </c>
      <c r="G108" s="13">
        <f t="shared" si="21"/>
        <v>30152557.217391305</v>
      </c>
    </row>
    <row r="109" spans="1:7" ht="12.75">
      <c r="A109" s="13">
        <v>700</v>
      </c>
      <c r="B109" s="13">
        <f t="shared" si="16"/>
        <v>84303963.42857142</v>
      </c>
      <c r="C109" s="13">
        <f t="shared" si="17"/>
        <v>60236763.428571425</v>
      </c>
      <c r="D109" s="13">
        <f t="shared" si="18"/>
        <v>57228363.428571425</v>
      </c>
      <c r="E109" s="13">
        <f t="shared" si="19"/>
        <v>45194763.428571425</v>
      </c>
      <c r="F109" s="13">
        <f t="shared" si="20"/>
        <v>37673763.428571425</v>
      </c>
      <c r="G109" s="13">
        <f t="shared" si="21"/>
        <v>30152763.428571425</v>
      </c>
    </row>
    <row r="110" spans="1:7" ht="12.75">
      <c r="A110" s="13">
        <v>710</v>
      </c>
      <c r="B110" s="13">
        <f t="shared" si="16"/>
        <v>84306357.63380282</v>
      </c>
      <c r="C110" s="13">
        <f t="shared" si="17"/>
        <v>60238197.633802816</v>
      </c>
      <c r="D110" s="13">
        <f t="shared" si="18"/>
        <v>57229677.633802816</v>
      </c>
      <c r="E110" s="13">
        <f t="shared" si="19"/>
        <v>45195597.633802816</v>
      </c>
      <c r="F110" s="13">
        <f t="shared" si="20"/>
        <v>37674297.633802816</v>
      </c>
      <c r="G110" s="13">
        <f t="shared" si="21"/>
        <v>30152997.633802816</v>
      </c>
    </row>
    <row r="111" spans="1:7" ht="12.75">
      <c r="A111" s="13">
        <v>720</v>
      </c>
      <c r="B111" s="13">
        <f t="shared" si="16"/>
        <v>84308778.66666666</v>
      </c>
      <c r="C111" s="13">
        <f t="shared" si="17"/>
        <v>60239658.666666664</v>
      </c>
      <c r="D111" s="13">
        <f t="shared" si="18"/>
        <v>57231018.666666664</v>
      </c>
      <c r="E111" s="13">
        <f t="shared" si="19"/>
        <v>45196458.666666664</v>
      </c>
      <c r="F111" s="13">
        <f t="shared" si="20"/>
        <v>37674858.666666664</v>
      </c>
      <c r="G111" s="13">
        <f t="shared" si="21"/>
        <v>30153258.666666664</v>
      </c>
    </row>
    <row r="112" spans="1:7" ht="12.75">
      <c r="A112" s="13">
        <v>730</v>
      </c>
      <c r="B112" s="13">
        <f t="shared" si="16"/>
        <v>84311225.42465752</v>
      </c>
      <c r="C112" s="13">
        <f t="shared" si="17"/>
        <v>60241145.42465753</v>
      </c>
      <c r="D112" s="13">
        <f t="shared" si="18"/>
        <v>57232385.42465753</v>
      </c>
      <c r="E112" s="13">
        <f t="shared" si="19"/>
        <v>45197345.42465753</v>
      </c>
      <c r="F112" s="13">
        <f t="shared" si="20"/>
        <v>37675445.42465753</v>
      </c>
      <c r="G112" s="13">
        <f t="shared" si="21"/>
        <v>30153545.42465753</v>
      </c>
    </row>
    <row r="113" spans="1:7" ht="12.75">
      <c r="A113" s="13">
        <v>740</v>
      </c>
      <c r="B113" s="13">
        <f t="shared" si="16"/>
        <v>84313696.86486487</v>
      </c>
      <c r="C113" s="13">
        <f t="shared" si="17"/>
        <v>60242656.86486486</v>
      </c>
      <c r="D113" s="13">
        <f t="shared" si="18"/>
        <v>57233776.86486486</v>
      </c>
      <c r="E113" s="13">
        <f t="shared" si="19"/>
        <v>45198256.86486486</v>
      </c>
      <c r="F113" s="13">
        <f t="shared" si="20"/>
        <v>37676056.86486486</v>
      </c>
      <c r="G113" s="13">
        <f t="shared" si="21"/>
        <v>30153856.864864863</v>
      </c>
    </row>
    <row r="114" spans="1:7" ht="12.75">
      <c r="A114" s="13">
        <v>750</v>
      </c>
      <c r="B114" s="13">
        <f t="shared" si="16"/>
        <v>84316192</v>
      </c>
      <c r="C114" s="13">
        <f t="shared" si="17"/>
        <v>60244192</v>
      </c>
      <c r="D114" s="13">
        <f t="shared" si="18"/>
        <v>57235192</v>
      </c>
      <c r="E114" s="13">
        <f t="shared" si="19"/>
        <v>45199192</v>
      </c>
      <c r="F114" s="13">
        <f t="shared" si="20"/>
        <v>37676692</v>
      </c>
      <c r="G114" s="13">
        <f t="shared" si="21"/>
        <v>30154192</v>
      </c>
    </row>
    <row r="115" spans="1:7" ht="12.75">
      <c r="A115" s="13">
        <v>760</v>
      </c>
      <c r="B115" s="13">
        <f t="shared" si="16"/>
        <v>84318709.89473684</v>
      </c>
      <c r="C115" s="13">
        <f t="shared" si="17"/>
        <v>60245749.89473684</v>
      </c>
      <c r="D115" s="13">
        <f t="shared" si="18"/>
        <v>57236629.89473684</v>
      </c>
      <c r="E115" s="13">
        <f t="shared" si="19"/>
        <v>45200149.89473684</v>
      </c>
      <c r="F115" s="13">
        <f t="shared" si="20"/>
        <v>37677349.89473684</v>
      </c>
      <c r="G115" s="13">
        <f t="shared" si="21"/>
        <v>30154549.89473684</v>
      </c>
    </row>
    <row r="116" spans="1:7" ht="12.75">
      <c r="A116" s="13">
        <v>770</v>
      </c>
      <c r="B116" s="13">
        <f t="shared" si="16"/>
        <v>84321249.66233766</v>
      </c>
      <c r="C116" s="13">
        <f t="shared" si="17"/>
        <v>60247329.66233766</v>
      </c>
      <c r="D116" s="13">
        <f t="shared" si="18"/>
        <v>57238089.66233766</v>
      </c>
      <c r="E116" s="13">
        <f t="shared" si="19"/>
        <v>45201129.66233766</v>
      </c>
      <c r="F116" s="13">
        <f t="shared" si="20"/>
        <v>37678029.66233766</v>
      </c>
      <c r="G116" s="13">
        <f t="shared" si="21"/>
        <v>30154929.66233766</v>
      </c>
    </row>
    <row r="117" spans="1:7" ht="12.75">
      <c r="A117" s="13">
        <v>780</v>
      </c>
      <c r="B117" s="13">
        <f t="shared" si="16"/>
        <v>84323810.46153846</v>
      </c>
      <c r="C117" s="13">
        <f t="shared" si="17"/>
        <v>60248930.46153846</v>
      </c>
      <c r="D117" s="13">
        <f t="shared" si="18"/>
        <v>57239570.46153846</v>
      </c>
      <c r="E117" s="13">
        <f t="shared" si="19"/>
        <v>45202130.46153846</v>
      </c>
      <c r="F117" s="13">
        <f t="shared" si="20"/>
        <v>37678730.46153846</v>
      </c>
      <c r="G117" s="13">
        <f t="shared" si="21"/>
        <v>30155330.46153846</v>
      </c>
    </row>
    <row r="118" spans="1:7" ht="12.75">
      <c r="A118" s="13">
        <v>790</v>
      </c>
      <c r="B118" s="13">
        <f t="shared" si="16"/>
        <v>84326391.4936709</v>
      </c>
      <c r="C118" s="13">
        <f t="shared" si="17"/>
        <v>60250551.49367089</v>
      </c>
      <c r="D118" s="13">
        <f t="shared" si="18"/>
        <v>57241071.49367089</v>
      </c>
      <c r="E118" s="13">
        <f t="shared" si="19"/>
        <v>45203151.49367089</v>
      </c>
      <c r="F118" s="13">
        <f t="shared" si="20"/>
        <v>37679451.49367089</v>
      </c>
      <c r="G118" s="13">
        <f t="shared" si="21"/>
        <v>30155751.49367089</v>
      </c>
    </row>
    <row r="119" spans="1:7" ht="12.75">
      <c r="A119" s="13">
        <v>800</v>
      </c>
      <c r="B119" s="13">
        <f t="shared" si="16"/>
        <v>84328992</v>
      </c>
      <c r="C119" s="13">
        <f t="shared" si="17"/>
        <v>60252192</v>
      </c>
      <c r="D119" s="13">
        <f t="shared" si="18"/>
        <v>57242592</v>
      </c>
      <c r="E119" s="13">
        <f t="shared" si="19"/>
        <v>45204192</v>
      </c>
      <c r="F119" s="13">
        <f t="shared" si="20"/>
        <v>37680192</v>
      </c>
      <c r="G119" s="13">
        <f t="shared" si="21"/>
        <v>30156192</v>
      </c>
    </row>
    <row r="120" spans="1:7" ht="12.75">
      <c r="A120" s="13">
        <v>810</v>
      </c>
      <c r="B120" s="13">
        <f t="shared" si="16"/>
        <v>84331611.25925927</v>
      </c>
      <c r="C120" s="13">
        <f t="shared" si="17"/>
        <v>60253851.25925926</v>
      </c>
      <c r="D120" s="13">
        <f t="shared" si="18"/>
        <v>57244131.25925926</v>
      </c>
      <c r="E120" s="13">
        <f t="shared" si="19"/>
        <v>45205251.25925926</v>
      </c>
      <c r="F120" s="13">
        <f t="shared" si="20"/>
        <v>37680951.25925926</v>
      </c>
      <c r="G120" s="13">
        <f t="shared" si="21"/>
        <v>30156651.25925926</v>
      </c>
    </row>
    <row r="121" spans="1:7" ht="12.75">
      <c r="A121" s="13">
        <v>820</v>
      </c>
      <c r="B121" s="13">
        <f t="shared" si="16"/>
        <v>84334248.58536586</v>
      </c>
      <c r="C121" s="13">
        <f t="shared" si="17"/>
        <v>60255528.585365854</v>
      </c>
      <c r="D121" s="13">
        <f t="shared" si="18"/>
        <v>57245688.585365854</v>
      </c>
      <c r="E121" s="13">
        <f t="shared" si="19"/>
        <v>45206328.585365854</v>
      </c>
      <c r="F121" s="13">
        <f t="shared" si="20"/>
        <v>37681728.585365854</v>
      </c>
      <c r="G121" s="13">
        <f t="shared" si="21"/>
        <v>30157128.585365854</v>
      </c>
    </row>
    <row r="122" spans="1:7" ht="12.75">
      <c r="A122" s="13">
        <v>830</v>
      </c>
      <c r="B122" s="13">
        <f t="shared" si="16"/>
        <v>84336903.32530122</v>
      </c>
      <c r="C122" s="13">
        <f t="shared" si="17"/>
        <v>60257223.32530121</v>
      </c>
      <c r="D122" s="13">
        <f t="shared" si="18"/>
        <v>57247263.32530121</v>
      </c>
      <c r="E122" s="13">
        <f t="shared" si="19"/>
        <v>45207423.32530121</v>
      </c>
      <c r="F122" s="13">
        <f t="shared" si="20"/>
        <v>37682523.32530121</v>
      </c>
      <c r="G122" s="13">
        <f t="shared" si="21"/>
        <v>30157623.325301208</v>
      </c>
    </row>
    <row r="123" spans="1:7" ht="12.75">
      <c r="A123" s="13">
        <v>840</v>
      </c>
      <c r="B123" s="13">
        <f t="shared" si="16"/>
        <v>84339574.85714287</v>
      </c>
      <c r="C123" s="13">
        <f t="shared" si="17"/>
        <v>60258934.85714286</v>
      </c>
      <c r="D123" s="13">
        <f t="shared" si="18"/>
        <v>57248854.85714286</v>
      </c>
      <c r="E123" s="13">
        <f t="shared" si="19"/>
        <v>45208534.85714286</v>
      </c>
      <c r="F123" s="13">
        <f t="shared" si="20"/>
        <v>37683334.85714286</v>
      </c>
      <c r="G123" s="13">
        <f t="shared" si="21"/>
        <v>30158134.85714286</v>
      </c>
    </row>
    <row r="124" spans="1:7" ht="12.75">
      <c r="A124" s="13">
        <v>850</v>
      </c>
      <c r="B124" s="13">
        <f t="shared" si="16"/>
        <v>84342262.5882353</v>
      </c>
      <c r="C124" s="13">
        <f t="shared" si="17"/>
        <v>60260662.5882353</v>
      </c>
      <c r="D124" s="13">
        <f t="shared" si="18"/>
        <v>57250462.5882353</v>
      </c>
      <c r="E124" s="13">
        <f t="shared" si="19"/>
        <v>45209662.5882353</v>
      </c>
      <c r="F124" s="13">
        <f t="shared" si="20"/>
        <v>37684162.5882353</v>
      </c>
      <c r="G124" s="13">
        <f t="shared" si="21"/>
        <v>30158662.588235296</v>
      </c>
    </row>
    <row r="125" spans="1:7" ht="12.75">
      <c r="A125" s="13">
        <v>860</v>
      </c>
      <c r="B125" s="13">
        <f t="shared" si="16"/>
        <v>84344965.95348836</v>
      </c>
      <c r="C125" s="13">
        <f t="shared" si="17"/>
        <v>60262405.95348837</v>
      </c>
      <c r="D125" s="13">
        <f t="shared" si="18"/>
        <v>57252085.95348837</v>
      </c>
      <c r="E125" s="13">
        <f t="shared" si="19"/>
        <v>45210805.95348837</v>
      </c>
      <c r="F125" s="13">
        <f t="shared" si="20"/>
        <v>37685005.95348837</v>
      </c>
      <c r="G125" s="13">
        <f t="shared" si="21"/>
        <v>30159205.95348837</v>
      </c>
    </row>
    <row r="126" spans="1:7" ht="12.75">
      <c r="A126" s="13">
        <v>870</v>
      </c>
      <c r="B126" s="13">
        <f t="shared" si="16"/>
        <v>84347684.41379312</v>
      </c>
      <c r="C126" s="13">
        <f t="shared" si="17"/>
        <v>60264164.41379311</v>
      </c>
      <c r="D126" s="13">
        <f t="shared" si="18"/>
        <v>57253724.41379311</v>
      </c>
      <c r="E126" s="13">
        <f t="shared" si="19"/>
        <v>45211964.41379311</v>
      </c>
      <c r="F126" s="13">
        <f t="shared" si="20"/>
        <v>37685864.41379311</v>
      </c>
      <c r="G126" s="13">
        <f t="shared" si="21"/>
        <v>30159764.413793106</v>
      </c>
    </row>
    <row r="127" spans="1:7" ht="12.75">
      <c r="A127" s="13">
        <v>880</v>
      </c>
      <c r="B127" s="13">
        <f t="shared" si="16"/>
        <v>84350417.45454547</v>
      </c>
      <c r="C127" s="13">
        <f t="shared" si="17"/>
        <v>60265937.45454546</v>
      </c>
      <c r="D127" s="13">
        <f t="shared" si="18"/>
        <v>57255377.45454546</v>
      </c>
      <c r="E127" s="13">
        <f t="shared" si="19"/>
        <v>45213137.45454546</v>
      </c>
      <c r="F127" s="13">
        <f t="shared" si="20"/>
        <v>37686737.45454546</v>
      </c>
      <c r="G127" s="13">
        <f t="shared" si="21"/>
        <v>30160337.454545457</v>
      </c>
    </row>
    <row r="128" spans="1:7" ht="12.75">
      <c r="A128" s="13">
        <v>890</v>
      </c>
      <c r="B128" s="13">
        <f t="shared" si="16"/>
        <v>84353164.58426967</v>
      </c>
      <c r="C128" s="13">
        <f t="shared" si="17"/>
        <v>60267724.584269665</v>
      </c>
      <c r="D128" s="13">
        <f t="shared" si="18"/>
        <v>57257044.584269665</v>
      </c>
      <c r="E128" s="13">
        <f t="shared" si="19"/>
        <v>45214324.584269665</v>
      </c>
      <c r="F128" s="13">
        <f t="shared" si="20"/>
        <v>37687624.584269665</v>
      </c>
      <c r="G128" s="13">
        <f t="shared" si="21"/>
        <v>30160924.584269665</v>
      </c>
    </row>
    <row r="129" spans="1:7" ht="12.75">
      <c r="A129" s="13">
        <v>900</v>
      </c>
      <c r="B129" s="13">
        <f t="shared" si="16"/>
        <v>84355925.33333334</v>
      </c>
      <c r="C129" s="13">
        <f t="shared" si="17"/>
        <v>60269525.333333336</v>
      </c>
      <c r="D129" s="13">
        <f t="shared" si="18"/>
        <v>57258725.333333336</v>
      </c>
      <c r="E129" s="13">
        <f t="shared" si="19"/>
        <v>45215525.333333336</v>
      </c>
      <c r="F129" s="13">
        <f t="shared" si="20"/>
        <v>37688525.333333336</v>
      </c>
      <c r="G129" s="13">
        <f t="shared" si="21"/>
        <v>30161525.333333336</v>
      </c>
    </row>
    <row r="130" spans="1:7" ht="12.75">
      <c r="A130" s="13">
        <v>910</v>
      </c>
      <c r="B130" s="13">
        <f t="shared" si="16"/>
        <v>84358699.25274724</v>
      </c>
      <c r="C130" s="13">
        <f t="shared" si="17"/>
        <v>60271339.252747245</v>
      </c>
      <c r="D130" s="13">
        <f t="shared" si="18"/>
        <v>57260419.252747245</v>
      </c>
      <c r="E130" s="13">
        <f t="shared" si="19"/>
        <v>45216739.252747245</v>
      </c>
      <c r="F130" s="13">
        <f t="shared" si="20"/>
        <v>37689439.252747245</v>
      </c>
      <c r="G130" s="13">
        <f t="shared" si="21"/>
        <v>30162139.25274725</v>
      </c>
    </row>
    <row r="131" spans="1:7" ht="12.75">
      <c r="A131" s="13">
        <v>920</v>
      </c>
      <c r="B131" s="13">
        <f t="shared" si="16"/>
        <v>84361485.91304348</v>
      </c>
      <c r="C131" s="13">
        <f t="shared" si="17"/>
        <v>60273165.91304348</v>
      </c>
      <c r="D131" s="13">
        <f t="shared" si="18"/>
        <v>57262125.91304348</v>
      </c>
      <c r="E131" s="13">
        <f t="shared" si="19"/>
        <v>45217965.91304348</v>
      </c>
      <c r="F131" s="13">
        <f t="shared" si="20"/>
        <v>37690365.91304348</v>
      </c>
      <c r="G131" s="13">
        <f t="shared" si="21"/>
        <v>30162765.91304348</v>
      </c>
    </row>
    <row r="132" spans="1:7" ht="12.75">
      <c r="A132" s="13">
        <v>930</v>
      </c>
      <c r="B132" s="13">
        <f t="shared" si="16"/>
        <v>84364284.90322581</v>
      </c>
      <c r="C132" s="13">
        <f t="shared" si="17"/>
        <v>60275004.90322581</v>
      </c>
      <c r="D132" s="13">
        <f t="shared" si="18"/>
        <v>57263844.90322581</v>
      </c>
      <c r="E132" s="13">
        <f t="shared" si="19"/>
        <v>45219204.90322581</v>
      </c>
      <c r="F132" s="13">
        <f t="shared" si="20"/>
        <v>37691304.90322581</v>
      </c>
      <c r="G132" s="13">
        <f t="shared" si="21"/>
        <v>30163404.903225806</v>
      </c>
    </row>
    <row r="133" spans="1:7" ht="12.75">
      <c r="A133" s="13">
        <v>940</v>
      </c>
      <c r="B133" s="13">
        <f t="shared" si="16"/>
        <v>84367095.82978724</v>
      </c>
      <c r="C133" s="13">
        <f t="shared" si="17"/>
        <v>60276855.82978724</v>
      </c>
      <c r="D133" s="13">
        <f t="shared" si="18"/>
        <v>57265575.82978724</v>
      </c>
      <c r="E133" s="13">
        <f t="shared" si="19"/>
        <v>45220455.82978724</v>
      </c>
      <c r="F133" s="13">
        <f t="shared" si="20"/>
        <v>37692255.82978723</v>
      </c>
      <c r="G133" s="13">
        <f t="shared" si="21"/>
        <v>30164055.829787236</v>
      </c>
    </row>
    <row r="134" spans="1:7" ht="12.75">
      <c r="A134" s="13">
        <v>950</v>
      </c>
      <c r="B134" s="13">
        <f t="shared" si="16"/>
        <v>84369918.31578948</v>
      </c>
      <c r="C134" s="13">
        <f t="shared" si="17"/>
        <v>60278718.31578947</v>
      </c>
      <c r="D134" s="13">
        <f t="shared" si="18"/>
        <v>57267318.31578947</v>
      </c>
      <c r="E134" s="13">
        <f t="shared" si="19"/>
        <v>45221718.31578947</v>
      </c>
      <c r="F134" s="13">
        <f t="shared" si="20"/>
        <v>37693218.31578947</v>
      </c>
      <c r="G134" s="13">
        <f t="shared" si="21"/>
        <v>30164718.315789472</v>
      </c>
    </row>
    <row r="135" spans="1:7" ht="12.75">
      <c r="A135" s="13">
        <v>960</v>
      </c>
      <c r="B135" s="13">
        <f>0.5*$B$21*$B$24*($B$19+$D$28*A135)+($B$18/A135)*($B$19+$D$28*A135)</f>
        <v>84372752</v>
      </c>
      <c r="C135" s="13">
        <f t="shared" si="17"/>
        <v>60280592</v>
      </c>
      <c r="D135" s="13">
        <f t="shared" si="18"/>
        <v>57269072</v>
      </c>
      <c r="E135" s="13">
        <f t="shared" si="19"/>
        <v>45222992</v>
      </c>
      <c r="F135" s="13">
        <f t="shared" si="20"/>
        <v>37694192</v>
      </c>
      <c r="G135" s="13">
        <f t="shared" si="21"/>
        <v>30165392</v>
      </c>
    </row>
    <row r="136" spans="1:7" ht="12.75">
      <c r="A136" s="13">
        <v>970</v>
      </c>
      <c r="B136" s="13">
        <f>0.5*$B$21*$B$24*($B$19+$D$28*A136)+($B$18/A136)*($B$19+$D$28*A136)</f>
        <v>84375596.53608248</v>
      </c>
      <c r="C136" s="13">
        <f t="shared" si="17"/>
        <v>60282476.53608248</v>
      </c>
      <c r="D136" s="13">
        <f t="shared" si="18"/>
        <v>57270836.53608248</v>
      </c>
      <c r="E136" s="13">
        <f t="shared" si="19"/>
        <v>45224276.53608248</v>
      </c>
      <c r="F136" s="13">
        <f t="shared" si="20"/>
        <v>37695176.53608248</v>
      </c>
      <c r="G136" s="13">
        <f t="shared" si="21"/>
        <v>30166076.536082473</v>
      </c>
    </row>
    <row r="137" spans="1:7" ht="12.75">
      <c r="A137" s="13">
        <v>980</v>
      </c>
      <c r="B137" s="13">
        <f>0.5*$B$21*$B$24*($B$19+$D$28*A137)+($B$18/A137)*($B$19+$D$28*A137)</f>
        <v>84378451.59183674</v>
      </c>
      <c r="C137" s="13">
        <f t="shared" si="17"/>
        <v>60284371.591836736</v>
      </c>
      <c r="D137" s="13">
        <f t="shared" si="18"/>
        <v>57272611.591836736</v>
      </c>
      <c r="E137" s="13">
        <f t="shared" si="19"/>
        <v>45225571.591836736</v>
      </c>
      <c r="F137" s="13">
        <f t="shared" si="20"/>
        <v>37696171.591836736</v>
      </c>
      <c r="G137" s="13">
        <f t="shared" si="21"/>
        <v>30166771.591836736</v>
      </c>
    </row>
    <row r="138" spans="1:7" ht="12.75">
      <c r="A138" s="13">
        <v>990</v>
      </c>
      <c r="B138" s="13">
        <f>0.5*$B$21*$B$24*($B$19+$D$28*A138)+($B$18/A138)*($B$19+$D$28*A138)</f>
        <v>84381316.84848486</v>
      </c>
      <c r="C138" s="13">
        <f t="shared" si="17"/>
        <v>60286276.84848485</v>
      </c>
      <c r="D138" s="13">
        <f t="shared" si="18"/>
        <v>57274396.84848485</v>
      </c>
      <c r="E138" s="13">
        <f t="shared" si="19"/>
        <v>45226876.84848485</v>
      </c>
      <c r="F138" s="13">
        <f t="shared" si="20"/>
        <v>37697176.84848485</v>
      </c>
      <c r="G138" s="13">
        <f t="shared" si="21"/>
        <v>30167476.84848485</v>
      </c>
    </row>
    <row r="139" spans="1:7" ht="12.75">
      <c r="A139" s="13">
        <v>1000</v>
      </c>
      <c r="B139" s="13">
        <f>0.5*$B$21*$B$24*($B$19+$D$28*A139)+($B$18/A139)*($B$19+$D$28*A139)</f>
        <v>84384192</v>
      </c>
      <c r="C139" s="13">
        <f t="shared" si="17"/>
        <v>60288192</v>
      </c>
      <c r="D139" s="13">
        <f t="shared" si="18"/>
        <v>57276192</v>
      </c>
      <c r="E139" s="13">
        <f t="shared" si="19"/>
        <v>45228192</v>
      </c>
      <c r="F139" s="13">
        <f t="shared" si="20"/>
        <v>37698192</v>
      </c>
      <c r="G139" s="13">
        <f t="shared" si="21"/>
        <v>30168192</v>
      </c>
    </row>
  </sheetData>
  <mergeCells count="4">
    <mergeCell ref="A35:D35"/>
    <mergeCell ref="E35:K35"/>
    <mergeCell ref="B1:G4"/>
    <mergeCell ref="B14:G16"/>
  </mergeCells>
  <printOptions/>
  <pageMargins left="0.75" right="0.75" top="1" bottom="1" header="0.4921259845" footer="0.4921259845"/>
  <pageSetup horizontalDpi="1200" verticalDpi="1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M34"/>
  <sheetViews>
    <sheetView workbookViewId="0" topLeftCell="A1">
      <selection activeCell="A1" sqref="A1"/>
    </sheetView>
  </sheetViews>
  <sheetFormatPr defaultColWidth="9.140625" defaultRowHeight="12.75"/>
  <cols>
    <col min="1" max="1" width="9.140625" style="11" customWidth="1"/>
    <col min="2" max="2" width="9.57421875" style="11" customWidth="1"/>
    <col min="3" max="3" width="25.8515625" style="11" customWidth="1"/>
    <col min="4" max="4" width="34.421875" style="11" customWidth="1"/>
    <col min="5" max="5" width="15.421875" style="11" customWidth="1"/>
    <col min="6" max="6" width="8.7109375" style="11" customWidth="1"/>
    <col min="7" max="7" width="11.421875" style="11" customWidth="1"/>
    <col min="8" max="8" width="8.28125" style="11" customWidth="1"/>
    <col min="9" max="9" width="11.00390625" style="11" bestFit="1" customWidth="1"/>
    <col min="10" max="16384" width="9.140625" style="11" customWidth="1"/>
  </cols>
  <sheetData>
    <row r="1" spans="1:7" ht="12.75">
      <c r="A1" s="1" t="s">
        <v>133</v>
      </c>
      <c r="B1" s="64" t="s">
        <v>154</v>
      </c>
      <c r="C1" s="64"/>
      <c r="D1" s="64"/>
      <c r="E1" s="64"/>
      <c r="F1" s="64"/>
      <c r="G1" s="64"/>
    </row>
    <row r="2" spans="1:7" ht="12.75">
      <c r="A2" s="10"/>
      <c r="B2" s="64"/>
      <c r="C2" s="64"/>
      <c r="D2" s="64"/>
      <c r="E2" s="64"/>
      <c r="F2" s="64"/>
      <c r="G2" s="64"/>
    </row>
    <row r="3" spans="1:7" ht="12.75">
      <c r="A3" s="10"/>
      <c r="B3" s="64"/>
      <c r="C3" s="64"/>
      <c r="D3" s="64"/>
      <c r="E3" s="64"/>
      <c r="F3" s="64"/>
      <c r="G3" s="64"/>
    </row>
    <row r="4" ht="12.75">
      <c r="A4" s="10"/>
    </row>
    <row r="5" spans="2:5" ht="12.75">
      <c r="B5" s="10" t="s">
        <v>57</v>
      </c>
      <c r="E5" s="15"/>
    </row>
    <row r="6" spans="2:5" ht="12.75">
      <c r="B6" s="13" t="s">
        <v>149</v>
      </c>
      <c r="C6" s="13" t="s">
        <v>58</v>
      </c>
      <c r="D6" s="13" t="s">
        <v>59</v>
      </c>
      <c r="E6" s="13" t="s">
        <v>60</v>
      </c>
    </row>
    <row r="7" spans="2:5" ht="12.75">
      <c r="B7" s="13">
        <v>1</v>
      </c>
      <c r="C7" s="13">
        <v>0</v>
      </c>
      <c r="D7" s="13">
        <v>90</v>
      </c>
      <c r="E7" s="13">
        <v>110</v>
      </c>
    </row>
    <row r="8" spans="2:5" ht="12.75">
      <c r="B8" s="13">
        <v>2</v>
      </c>
      <c r="C8" s="13">
        <v>90</v>
      </c>
      <c r="D8" s="13">
        <v>450</v>
      </c>
      <c r="E8" s="13">
        <v>105</v>
      </c>
    </row>
    <row r="9" spans="2:5" ht="12.75">
      <c r="B9" s="13">
        <v>3</v>
      </c>
      <c r="C9" s="13">
        <v>450</v>
      </c>
      <c r="D9" s="13">
        <v>9000</v>
      </c>
      <c r="E9" s="13">
        <v>98</v>
      </c>
    </row>
    <row r="10" spans="2:5" ht="12.75">
      <c r="B10" s="30"/>
      <c r="C10" s="30"/>
      <c r="D10" s="30"/>
      <c r="E10" s="30"/>
    </row>
    <row r="11" spans="2:7" ht="12.75">
      <c r="B11" s="64" t="s">
        <v>155</v>
      </c>
      <c r="C11" s="64"/>
      <c r="D11" s="64"/>
      <c r="E11" s="64"/>
      <c r="F11" s="64"/>
      <c r="G11" s="64"/>
    </row>
    <row r="12" spans="2:7" ht="15.75" customHeight="1">
      <c r="B12" s="64"/>
      <c r="C12" s="64"/>
      <c r="D12" s="64"/>
      <c r="E12" s="64"/>
      <c r="F12" s="64"/>
      <c r="G12" s="64"/>
    </row>
    <row r="13" spans="2:7" ht="15.75" customHeight="1">
      <c r="B13" s="64"/>
      <c r="C13" s="64"/>
      <c r="D13" s="64"/>
      <c r="E13" s="64"/>
      <c r="F13" s="64"/>
      <c r="G13" s="64"/>
    </row>
    <row r="14" ht="12.75"/>
    <row r="15" spans="1:2" ht="12.75">
      <c r="A15" s="1" t="s">
        <v>0</v>
      </c>
      <c r="B15" s="10" t="s">
        <v>10</v>
      </c>
    </row>
    <row r="16" spans="1:4" ht="12.75">
      <c r="A16" s="12" t="s">
        <v>1</v>
      </c>
      <c r="B16" s="13">
        <v>750</v>
      </c>
      <c r="C16" s="12" t="s">
        <v>53</v>
      </c>
      <c r="D16" s="14" t="s">
        <v>14</v>
      </c>
    </row>
    <row r="17" spans="1:4" ht="15.75">
      <c r="A17" s="12" t="s">
        <v>2</v>
      </c>
      <c r="B17" s="13">
        <v>95</v>
      </c>
      <c r="C17" s="12" t="s">
        <v>6</v>
      </c>
      <c r="D17" s="14" t="s">
        <v>15</v>
      </c>
    </row>
    <row r="18" spans="1:4" ht="15.75">
      <c r="A18" s="12" t="s">
        <v>3</v>
      </c>
      <c r="B18" s="13">
        <v>0.18</v>
      </c>
      <c r="C18" s="12" t="s">
        <v>12</v>
      </c>
      <c r="D18" s="14" t="s">
        <v>16</v>
      </c>
    </row>
    <row r="19" spans="1:4" ht="15.75">
      <c r="A19" s="12" t="s">
        <v>8</v>
      </c>
      <c r="B19" s="13">
        <v>27</v>
      </c>
      <c r="C19" s="12" t="s">
        <v>9</v>
      </c>
      <c r="D19" s="14" t="s">
        <v>18</v>
      </c>
    </row>
    <row r="20" ht="12.75">
      <c r="A20" s="18"/>
    </row>
    <row r="21" spans="1:2" ht="15.75">
      <c r="A21" s="1" t="s">
        <v>11</v>
      </c>
      <c r="B21" s="10" t="s">
        <v>22</v>
      </c>
    </row>
    <row r="22" spans="1:3" ht="15.75">
      <c r="A22" s="12" t="s">
        <v>3</v>
      </c>
      <c r="B22" s="13">
        <f>IF(C19="měsíc",B18/12,B18)</f>
        <v>0.015</v>
      </c>
      <c r="C22" s="12" t="s">
        <v>153</v>
      </c>
    </row>
    <row r="23" ht="12.75"/>
    <row r="24" spans="1:2" ht="12.75">
      <c r="A24" s="1" t="s">
        <v>13</v>
      </c>
      <c r="B24" s="10" t="s">
        <v>69</v>
      </c>
    </row>
    <row r="25" ht="12.75">
      <c r="F25" s="3" t="s">
        <v>71</v>
      </c>
    </row>
    <row r="26" spans="1:10" ht="15.75">
      <c r="A26" s="26" t="s">
        <v>149</v>
      </c>
      <c r="B26" s="26" t="s">
        <v>58</v>
      </c>
      <c r="C26" s="26" t="s">
        <v>59</v>
      </c>
      <c r="D26" s="26" t="s">
        <v>60</v>
      </c>
      <c r="E26" s="3" t="s">
        <v>158</v>
      </c>
      <c r="F26" s="5">
        <v>0</v>
      </c>
      <c r="G26" s="3" t="s">
        <v>70</v>
      </c>
      <c r="H26" s="3" t="s">
        <v>61</v>
      </c>
      <c r="I26" s="3" t="s">
        <v>62</v>
      </c>
      <c r="J26" s="3" t="s">
        <v>39</v>
      </c>
    </row>
    <row r="27" spans="1:10" ht="12.75">
      <c r="A27" s="27">
        <v>1</v>
      </c>
      <c r="B27" s="27">
        <v>0</v>
      </c>
      <c r="C27" s="27">
        <v>90</v>
      </c>
      <c r="D27" s="27">
        <v>110</v>
      </c>
      <c r="E27" s="4">
        <f>(C27-B27)*D27</f>
        <v>9900</v>
      </c>
      <c r="F27" s="4">
        <f>E27</f>
        <v>9900</v>
      </c>
      <c r="G27" s="4">
        <f>$B$17+F26-B27*D27</f>
        <v>95</v>
      </c>
      <c r="H27" s="4">
        <f>ROUND(SQRT(2*$B$16*G27/($B$19*D27*$B$22)),0)</f>
        <v>57</v>
      </c>
      <c r="I27" s="4" t="str">
        <f>IF(AND(H27&gt;=B27,H27&lt;=C27),"ano","ne")</f>
        <v>ano</v>
      </c>
      <c r="J27" s="4">
        <f>ROUND($B$16*D27+0.5*$B$19*$B$22*(F26-B27*D27)+SQRT(2*$B$16*$B$19*$B$22*G27),0)</f>
        <v>82740</v>
      </c>
    </row>
    <row r="28" spans="1:13" ht="12.75">
      <c r="A28" s="27">
        <v>2</v>
      </c>
      <c r="B28" s="27">
        <v>90</v>
      </c>
      <c r="C28" s="27">
        <v>450</v>
      </c>
      <c r="D28" s="27">
        <v>105</v>
      </c>
      <c r="E28" s="4">
        <f>(C28-B28)*D28</f>
        <v>37800</v>
      </c>
      <c r="F28" s="4">
        <f>F27+E28</f>
        <v>47700</v>
      </c>
      <c r="G28" s="4">
        <f>$B$17+F27-B28*D28</f>
        <v>545</v>
      </c>
      <c r="H28" s="4">
        <f>ROUND(SQRT(2*$B$16*G28/($B$19*D28*$B$22)),0)</f>
        <v>139</v>
      </c>
      <c r="I28" s="4" t="str">
        <f>IF(AND(H28&gt;=B28,H28&lt;=C28),"ano","ne")</f>
        <v>ano</v>
      </c>
      <c r="J28" s="4">
        <f>ROUND($B$16*D28+0.5*$B$19*$B$22*(F27-B28*D28)+SQRT(2*$B$16*$B$19*$B$22*G28),0)</f>
        <v>79417</v>
      </c>
      <c r="L28" s="72" t="s">
        <v>156</v>
      </c>
      <c r="M28" s="73"/>
    </row>
    <row r="29" spans="1:10" ht="12.75">
      <c r="A29" s="27">
        <v>3</v>
      </c>
      <c r="B29" s="27">
        <v>450</v>
      </c>
      <c r="C29" s="27">
        <v>9000</v>
      </c>
      <c r="D29" s="27">
        <v>98</v>
      </c>
      <c r="E29" s="4">
        <f>(C29-B29)*D29</f>
        <v>837900</v>
      </c>
      <c r="F29" s="4">
        <f>F28+E29</f>
        <v>885600</v>
      </c>
      <c r="G29" s="4">
        <f>$B$17+F28-B29*D29</f>
        <v>3695</v>
      </c>
      <c r="H29" s="4">
        <f>ROUND(SQRT(2*$B$16*G29/($B$19*D29*$B$22)),0)</f>
        <v>374</v>
      </c>
      <c r="I29" s="4" t="str">
        <f>IF(AND(H29&gt;=B29,H29&lt;=C29),"ano","ne")</f>
        <v>ne</v>
      </c>
      <c r="J29" s="4">
        <f>ROUND($B$16*D29+0.5*$B$19*$B$22*(F28-B29*D29)+SQRT(2*$B$16*$B$19*$B$22*G29),0)</f>
        <v>75727</v>
      </c>
    </row>
    <row r="30" ht="12.75">
      <c r="J30" s="18"/>
    </row>
    <row r="31" spans="1:10" ht="12.75">
      <c r="A31" s="71" t="s">
        <v>63</v>
      </c>
      <c r="B31" s="71"/>
      <c r="C31" s="71"/>
      <c r="D31" s="71"/>
      <c r="E31" s="68" t="s">
        <v>64</v>
      </c>
      <c r="F31" s="68"/>
      <c r="G31" s="68"/>
      <c r="H31" s="68"/>
      <c r="I31" s="68"/>
      <c r="J31" s="68"/>
    </row>
    <row r="34" ht="12.75">
      <c r="E34" s="11" t="s">
        <v>72</v>
      </c>
    </row>
  </sheetData>
  <mergeCells count="5">
    <mergeCell ref="A31:D31"/>
    <mergeCell ref="E31:J31"/>
    <mergeCell ref="L28:M28"/>
    <mergeCell ref="B1:G3"/>
    <mergeCell ref="B11:G13"/>
  </mergeCells>
  <printOptions/>
  <pageMargins left="0.75" right="0.75" top="1" bottom="1" header="0.4921259845" footer="0.4921259845"/>
  <pageSetup horizontalDpi="200" verticalDpi="2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9.421875" style="11" bestFit="1" customWidth="1"/>
    <col min="2" max="2" width="9.140625" style="11" customWidth="1"/>
    <col min="3" max="3" width="26.57421875" style="11" bestFit="1" customWidth="1"/>
    <col min="4" max="4" width="33.8515625" style="11" customWidth="1"/>
    <col min="5" max="5" width="7.00390625" style="11" bestFit="1" customWidth="1"/>
    <col min="6" max="6" width="5.28125" style="11" bestFit="1" customWidth="1"/>
    <col min="7" max="7" width="4.7109375" style="11" bestFit="1" customWidth="1"/>
    <col min="8" max="16384" width="9.140625" style="11" customWidth="1"/>
  </cols>
  <sheetData>
    <row r="1" spans="1:7" ht="12.75">
      <c r="A1" s="1" t="s">
        <v>133</v>
      </c>
      <c r="B1" s="64" t="s">
        <v>166</v>
      </c>
      <c r="C1" s="64"/>
      <c r="D1" s="64"/>
      <c r="E1" s="64"/>
      <c r="F1" s="64"/>
      <c r="G1" s="64"/>
    </row>
    <row r="2" spans="2:7" ht="12.75">
      <c r="B2" s="64"/>
      <c r="C2" s="64"/>
      <c r="D2" s="64"/>
      <c r="E2" s="64"/>
      <c r="F2" s="64"/>
      <c r="G2" s="64"/>
    </row>
    <row r="3" spans="2:7" ht="12.75">
      <c r="B3" s="64"/>
      <c r="C3" s="64"/>
      <c r="D3" s="64"/>
      <c r="E3" s="64"/>
      <c r="F3" s="64"/>
      <c r="G3" s="64"/>
    </row>
    <row r="4" spans="2:7" ht="12.75">
      <c r="B4" s="64"/>
      <c r="C4" s="64"/>
      <c r="D4" s="64"/>
      <c r="E4" s="64"/>
      <c r="F4" s="64"/>
      <c r="G4" s="64"/>
    </row>
    <row r="5" ht="12.75"/>
    <row r="6" spans="2:4" ht="12.75">
      <c r="B6" s="22" t="s">
        <v>159</v>
      </c>
      <c r="C6" s="22" t="s">
        <v>160</v>
      </c>
      <c r="D6" s="22" t="s">
        <v>161</v>
      </c>
    </row>
    <row r="7" spans="2:4" ht="12.75">
      <c r="B7" s="13">
        <v>1</v>
      </c>
      <c r="C7" s="13">
        <v>11000</v>
      </c>
      <c r="D7" s="13">
        <v>62</v>
      </c>
    </row>
    <row r="8" spans="2:4" ht="12.75">
      <c r="B8" s="13">
        <v>2</v>
      </c>
      <c r="C8" s="13">
        <v>56</v>
      </c>
      <c r="D8" s="13">
        <v>1450</v>
      </c>
    </row>
    <row r="9" spans="2:4" ht="12.75">
      <c r="B9" s="13">
        <v>3</v>
      </c>
      <c r="C9" s="13">
        <v>785</v>
      </c>
      <c r="D9" s="13">
        <v>185</v>
      </c>
    </row>
    <row r="10" spans="2:4" ht="12.75">
      <c r="B10" s="13">
        <v>4</v>
      </c>
      <c r="C10" s="13">
        <v>195000</v>
      </c>
      <c r="D10" s="13">
        <v>7</v>
      </c>
    </row>
    <row r="11" spans="2:4" ht="12.75">
      <c r="B11" s="13">
        <v>5</v>
      </c>
      <c r="C11" s="13">
        <v>386</v>
      </c>
      <c r="D11" s="13">
        <v>245</v>
      </c>
    </row>
    <row r="12" spans="2:4" ht="12.75">
      <c r="B12" s="13">
        <v>6</v>
      </c>
      <c r="C12" s="13">
        <v>38</v>
      </c>
      <c r="D12" s="13">
        <v>13800</v>
      </c>
    </row>
    <row r="13" spans="2:4" ht="12.75">
      <c r="B13" s="13">
        <v>7</v>
      </c>
      <c r="C13" s="13">
        <v>6400</v>
      </c>
      <c r="D13" s="13">
        <v>655</v>
      </c>
    </row>
    <row r="14" spans="2:4" ht="12.75">
      <c r="B14" s="13">
        <v>8</v>
      </c>
      <c r="C14" s="13">
        <v>1350</v>
      </c>
      <c r="D14" s="13">
        <v>2350</v>
      </c>
    </row>
    <row r="15" spans="2:4" ht="12.75">
      <c r="B15" s="13">
        <v>9</v>
      </c>
      <c r="C15" s="13">
        <v>2350</v>
      </c>
      <c r="D15" s="13">
        <v>895</v>
      </c>
    </row>
    <row r="16" spans="2:4" ht="12.75">
      <c r="B16" s="13">
        <v>10</v>
      </c>
      <c r="C16" s="13">
        <v>452000</v>
      </c>
      <c r="D16" s="13">
        <v>2</v>
      </c>
    </row>
    <row r="17" ht="12.75"/>
    <row r="18" spans="1:2" ht="12.75">
      <c r="A18" s="1" t="s">
        <v>0</v>
      </c>
      <c r="B18" s="10" t="s">
        <v>10</v>
      </c>
    </row>
    <row r="19" spans="1:4" ht="15.75">
      <c r="A19" s="12" t="s">
        <v>2</v>
      </c>
      <c r="B19" s="13">
        <v>1200</v>
      </c>
      <c r="C19" s="12" t="s">
        <v>6</v>
      </c>
      <c r="D19" s="14" t="s">
        <v>15</v>
      </c>
    </row>
    <row r="20" spans="1:4" ht="15.75">
      <c r="A20" s="12" t="s">
        <v>3</v>
      </c>
      <c r="B20" s="33">
        <v>0.19</v>
      </c>
      <c r="C20" s="12" t="s">
        <v>12</v>
      </c>
      <c r="D20" s="14" t="s">
        <v>16</v>
      </c>
    </row>
    <row r="21" spans="1:4" ht="15.75">
      <c r="A21" s="12" t="s">
        <v>8</v>
      </c>
      <c r="B21" s="13">
        <v>12</v>
      </c>
      <c r="C21" s="12" t="s">
        <v>9</v>
      </c>
      <c r="D21" s="14" t="s">
        <v>18</v>
      </c>
    </row>
    <row r="22" ht="12.75"/>
    <row r="23" spans="1:2" ht="15.75">
      <c r="A23" s="1" t="s">
        <v>11</v>
      </c>
      <c r="B23" s="10" t="s">
        <v>22</v>
      </c>
    </row>
    <row r="24" spans="1:3" ht="15.75">
      <c r="A24" s="12" t="s">
        <v>3</v>
      </c>
      <c r="B24" s="13">
        <f>IF(C21="měsíc",B20/12,B20)</f>
        <v>0.015833333333333335</v>
      </c>
      <c r="C24" s="12" t="s">
        <v>153</v>
      </c>
    </row>
    <row r="25" ht="12.75"/>
    <row r="26" spans="1:2" ht="15.75">
      <c r="A26" s="1" t="s">
        <v>13</v>
      </c>
      <c r="B26" s="10" t="s">
        <v>23</v>
      </c>
    </row>
    <row r="27" spans="1:7" ht="15.75">
      <c r="A27" s="22" t="s">
        <v>159</v>
      </c>
      <c r="B27" s="22" t="s">
        <v>160</v>
      </c>
      <c r="C27" s="22" t="s">
        <v>74</v>
      </c>
      <c r="D27" s="22" t="s">
        <v>162</v>
      </c>
      <c r="E27" s="22" t="s">
        <v>163</v>
      </c>
      <c r="F27" s="22" t="s">
        <v>75</v>
      </c>
      <c r="G27" s="22" t="s">
        <v>164</v>
      </c>
    </row>
    <row r="28" spans="1:7" ht="12.75">
      <c r="A28" s="13">
        <v>1</v>
      </c>
      <c r="B28" s="13">
        <v>11000</v>
      </c>
      <c r="C28" s="13">
        <v>62</v>
      </c>
      <c r="D28" s="13">
        <f aca="true" t="shared" si="0" ref="D28:D37">ROUND(SQRT((2*B28*$B$19)/($B$21*C28*$B$24)),0)</f>
        <v>1497</v>
      </c>
      <c r="E28" s="13">
        <f aca="true" t="shared" si="1" ref="E28:E37">ROUND((D28/2)*$B$21*C28*$B$24+(B28/D28)*$B$19,0)</f>
        <v>17635</v>
      </c>
      <c r="F28" s="13">
        <f>ROUND(B28/D28,0)</f>
        <v>7</v>
      </c>
      <c r="G28" s="13">
        <f>ROUND($B$21/F28*30,0)</f>
        <v>51</v>
      </c>
    </row>
    <row r="29" spans="1:7" ht="12.75">
      <c r="A29" s="13">
        <v>2</v>
      </c>
      <c r="B29" s="13">
        <v>56</v>
      </c>
      <c r="C29" s="13">
        <v>1450</v>
      </c>
      <c r="D29" s="13">
        <f t="shared" si="0"/>
        <v>22</v>
      </c>
      <c r="E29" s="13">
        <f t="shared" si="1"/>
        <v>6085</v>
      </c>
      <c r="F29" s="13">
        <f aca="true" t="shared" si="2" ref="F29:F37">ROUND(B29/D29,0)</f>
        <v>3</v>
      </c>
      <c r="G29" s="13">
        <f aca="true" t="shared" si="3" ref="G29:G37">ROUND($B$21/F29*30,0)</f>
        <v>120</v>
      </c>
    </row>
    <row r="30" spans="1:7" ht="12.75">
      <c r="A30" s="13">
        <v>3</v>
      </c>
      <c r="B30" s="13">
        <v>785</v>
      </c>
      <c r="C30" s="13">
        <v>185</v>
      </c>
      <c r="D30" s="13">
        <f t="shared" si="0"/>
        <v>232</v>
      </c>
      <c r="E30" s="13">
        <f t="shared" si="1"/>
        <v>8138</v>
      </c>
      <c r="F30" s="13">
        <f t="shared" si="2"/>
        <v>3</v>
      </c>
      <c r="G30" s="13">
        <f t="shared" si="3"/>
        <v>120</v>
      </c>
    </row>
    <row r="31" spans="1:7" ht="12.75">
      <c r="A31" s="13">
        <v>4</v>
      </c>
      <c r="B31" s="13">
        <v>195000</v>
      </c>
      <c r="C31" s="13">
        <v>7</v>
      </c>
      <c r="D31" s="13">
        <f t="shared" si="0"/>
        <v>18758</v>
      </c>
      <c r="E31" s="13">
        <f t="shared" si="1"/>
        <v>24949</v>
      </c>
      <c r="F31" s="13">
        <f t="shared" si="2"/>
        <v>10</v>
      </c>
      <c r="G31" s="13">
        <f t="shared" si="3"/>
        <v>36</v>
      </c>
    </row>
    <row r="32" spans="1:7" ht="12.75">
      <c r="A32" s="13">
        <v>5</v>
      </c>
      <c r="B32" s="13">
        <v>386</v>
      </c>
      <c r="C32" s="13">
        <v>245</v>
      </c>
      <c r="D32" s="13">
        <f t="shared" si="0"/>
        <v>141</v>
      </c>
      <c r="E32" s="13">
        <f t="shared" si="1"/>
        <v>6567</v>
      </c>
      <c r="F32" s="13">
        <f t="shared" si="2"/>
        <v>3</v>
      </c>
      <c r="G32" s="13">
        <f t="shared" si="3"/>
        <v>120</v>
      </c>
    </row>
    <row r="33" spans="1:7" ht="12.75">
      <c r="A33" s="13">
        <v>6</v>
      </c>
      <c r="B33" s="13">
        <v>38</v>
      </c>
      <c r="C33" s="13">
        <v>13800</v>
      </c>
      <c r="D33" s="13">
        <f t="shared" si="0"/>
        <v>6</v>
      </c>
      <c r="E33" s="13">
        <f t="shared" si="1"/>
        <v>15466</v>
      </c>
      <c r="F33" s="13">
        <f t="shared" si="2"/>
        <v>6</v>
      </c>
      <c r="G33" s="13">
        <f t="shared" si="3"/>
        <v>60</v>
      </c>
    </row>
    <row r="34" spans="1:7" ht="12.75">
      <c r="A34" s="13">
        <v>7</v>
      </c>
      <c r="B34" s="13">
        <v>6400</v>
      </c>
      <c r="C34" s="13">
        <v>655</v>
      </c>
      <c r="D34" s="13">
        <f t="shared" si="0"/>
        <v>351</v>
      </c>
      <c r="E34" s="13">
        <f t="shared" si="1"/>
        <v>43721</v>
      </c>
      <c r="F34" s="13">
        <f t="shared" si="2"/>
        <v>18</v>
      </c>
      <c r="G34" s="13">
        <f t="shared" si="3"/>
        <v>20</v>
      </c>
    </row>
    <row r="35" spans="1:7" ht="12.75">
      <c r="A35" s="13">
        <v>8</v>
      </c>
      <c r="B35" s="13">
        <v>1350</v>
      </c>
      <c r="C35" s="13">
        <v>2350</v>
      </c>
      <c r="D35" s="13">
        <f t="shared" si="0"/>
        <v>85</v>
      </c>
      <c r="E35" s="13">
        <f t="shared" si="1"/>
        <v>38035</v>
      </c>
      <c r="F35" s="13">
        <f t="shared" si="2"/>
        <v>16</v>
      </c>
      <c r="G35" s="13">
        <f t="shared" si="3"/>
        <v>23</v>
      </c>
    </row>
    <row r="36" spans="1:7" ht="12.75">
      <c r="A36" s="13">
        <v>9</v>
      </c>
      <c r="B36" s="13">
        <v>2350</v>
      </c>
      <c r="C36" s="13">
        <v>895</v>
      </c>
      <c r="D36" s="13">
        <f t="shared" si="0"/>
        <v>182</v>
      </c>
      <c r="E36" s="13">
        <f t="shared" si="1"/>
        <v>30969</v>
      </c>
      <c r="F36" s="13">
        <f t="shared" si="2"/>
        <v>13</v>
      </c>
      <c r="G36" s="13">
        <f t="shared" si="3"/>
        <v>28</v>
      </c>
    </row>
    <row r="37" spans="1:7" ht="12.75">
      <c r="A37" s="13">
        <v>10</v>
      </c>
      <c r="B37" s="13">
        <v>452000</v>
      </c>
      <c r="C37" s="13">
        <v>2</v>
      </c>
      <c r="D37" s="13">
        <f t="shared" si="0"/>
        <v>53430</v>
      </c>
      <c r="E37" s="13">
        <f t="shared" si="1"/>
        <v>20303</v>
      </c>
      <c r="F37" s="13">
        <f t="shared" si="2"/>
        <v>8</v>
      </c>
      <c r="G37" s="13">
        <f t="shared" si="3"/>
        <v>45</v>
      </c>
    </row>
    <row r="38" spans="4:7" ht="12.75">
      <c r="D38" s="34" t="s">
        <v>76</v>
      </c>
      <c r="E38" s="34">
        <f>SUM(E28:E37)</f>
        <v>211868</v>
      </c>
      <c r="F38" s="34">
        <f>SUM(F28:F37)</f>
        <v>87</v>
      </c>
      <c r="G38" s="30"/>
    </row>
  </sheetData>
  <mergeCells count="1">
    <mergeCell ref="B1:G4"/>
  </mergeCells>
  <printOptions/>
  <pageMargins left="0.75" right="0.75" top="1" bottom="1" header="0.4921259845" footer="0.4921259845"/>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140625" defaultRowHeight="12.75"/>
  <cols>
    <col min="1" max="2" width="9.140625" style="11" customWidth="1"/>
    <col min="3" max="3" width="26.00390625" style="11" customWidth="1"/>
    <col min="4" max="4" width="33.7109375" style="11" customWidth="1"/>
    <col min="5" max="16384" width="9.140625" style="11" customWidth="1"/>
  </cols>
  <sheetData>
    <row r="1" spans="1:9" ht="12.75">
      <c r="A1" s="1" t="s">
        <v>133</v>
      </c>
      <c r="B1" s="65" t="s">
        <v>169</v>
      </c>
      <c r="C1" s="65"/>
      <c r="D1" s="65"/>
      <c r="E1" s="65"/>
      <c r="F1" s="65"/>
      <c r="G1" s="65"/>
      <c r="H1" s="65"/>
      <c r="I1" s="65"/>
    </row>
    <row r="2" spans="2:9" ht="12.75">
      <c r="B2" s="65"/>
      <c r="C2" s="65"/>
      <c r="D2" s="65"/>
      <c r="E2" s="65"/>
      <c r="F2" s="65"/>
      <c r="G2" s="65"/>
      <c r="H2" s="65"/>
      <c r="I2" s="65"/>
    </row>
    <row r="3" spans="2:9" ht="12.75">
      <c r="B3" s="65"/>
      <c r="C3" s="65"/>
      <c r="D3" s="65"/>
      <c r="E3" s="65"/>
      <c r="F3" s="65"/>
      <c r="G3" s="65"/>
      <c r="H3" s="65"/>
      <c r="I3" s="65"/>
    </row>
    <row r="4" spans="2:9" ht="12.75">
      <c r="B4" s="65"/>
      <c r="C4" s="65"/>
      <c r="D4" s="65"/>
      <c r="E4" s="65"/>
      <c r="F4" s="65"/>
      <c r="G4" s="65"/>
      <c r="H4" s="65"/>
      <c r="I4" s="65"/>
    </row>
    <row r="5" spans="2:9" ht="12.75">
      <c r="B5" s="65"/>
      <c r="C5" s="65"/>
      <c r="D5" s="65"/>
      <c r="E5" s="65"/>
      <c r="F5" s="65"/>
      <c r="G5" s="65"/>
      <c r="H5" s="65"/>
      <c r="I5" s="65"/>
    </row>
    <row r="6" spans="2:4" ht="12.75">
      <c r="B6" s="2" t="s">
        <v>159</v>
      </c>
      <c r="C6" s="22" t="s">
        <v>73</v>
      </c>
      <c r="D6" s="22" t="s">
        <v>74</v>
      </c>
    </row>
    <row r="7" spans="2:4" ht="12.75">
      <c r="B7" s="13">
        <v>1</v>
      </c>
      <c r="C7" s="13">
        <v>11000</v>
      </c>
      <c r="D7" s="13">
        <v>62</v>
      </c>
    </row>
    <row r="8" spans="2:4" ht="12.75">
      <c r="B8" s="13">
        <v>2</v>
      </c>
      <c r="C8" s="13">
        <v>56</v>
      </c>
      <c r="D8" s="13">
        <v>1450</v>
      </c>
    </row>
    <row r="9" spans="2:4" ht="12.75">
      <c r="B9" s="13">
        <v>3</v>
      </c>
      <c r="C9" s="13">
        <v>785</v>
      </c>
      <c r="D9" s="13">
        <v>185</v>
      </c>
    </row>
    <row r="10" spans="2:4" ht="12.75">
      <c r="B10" s="13">
        <v>4</v>
      </c>
      <c r="C10" s="13">
        <v>195000</v>
      </c>
      <c r="D10" s="13">
        <v>7</v>
      </c>
    </row>
    <row r="11" spans="2:4" ht="12.75">
      <c r="B11" s="13">
        <v>5</v>
      </c>
      <c r="C11" s="13">
        <v>386</v>
      </c>
      <c r="D11" s="13">
        <v>245</v>
      </c>
    </row>
    <row r="12" spans="2:4" ht="12.75">
      <c r="B12" s="13">
        <v>6</v>
      </c>
      <c r="C12" s="13">
        <v>38</v>
      </c>
      <c r="D12" s="13">
        <v>13800</v>
      </c>
    </row>
    <row r="13" spans="2:4" ht="12.75">
      <c r="B13" s="13">
        <v>7</v>
      </c>
      <c r="C13" s="13">
        <v>6400</v>
      </c>
      <c r="D13" s="13">
        <v>655</v>
      </c>
    </row>
    <row r="14" spans="2:4" ht="12.75">
      <c r="B14" s="13">
        <v>8</v>
      </c>
      <c r="C14" s="13">
        <v>1350</v>
      </c>
      <c r="D14" s="13">
        <v>2350</v>
      </c>
    </row>
    <row r="15" spans="2:4" ht="12.75">
      <c r="B15" s="13">
        <v>9</v>
      </c>
      <c r="C15" s="13">
        <v>2350</v>
      </c>
      <c r="D15" s="13">
        <v>895</v>
      </c>
    </row>
    <row r="16" spans="2:4" ht="12.75">
      <c r="B16" s="13">
        <v>10</v>
      </c>
      <c r="C16" s="13">
        <v>452000</v>
      </c>
      <c r="D16" s="13">
        <v>2</v>
      </c>
    </row>
    <row r="17" ht="12.75"/>
    <row r="18" ht="12.75"/>
    <row r="19" spans="1:2" ht="12.75">
      <c r="A19" s="1" t="s">
        <v>0</v>
      </c>
      <c r="B19" s="10" t="s">
        <v>10</v>
      </c>
    </row>
    <row r="20" spans="1:4" ht="15.75">
      <c r="A20" s="12" t="s">
        <v>2</v>
      </c>
      <c r="B20" s="13">
        <v>1400</v>
      </c>
      <c r="C20" s="12" t="s">
        <v>6</v>
      </c>
      <c r="D20" s="14" t="s">
        <v>15</v>
      </c>
    </row>
    <row r="21" spans="1:4" ht="15.75">
      <c r="A21" s="12" t="s">
        <v>3</v>
      </c>
      <c r="B21" s="33">
        <v>0.19</v>
      </c>
      <c r="C21" s="12" t="s">
        <v>12</v>
      </c>
      <c r="D21" s="14" t="s">
        <v>16</v>
      </c>
    </row>
    <row r="22" spans="1:4" ht="15.75">
      <c r="A22" s="12" t="s">
        <v>8</v>
      </c>
      <c r="B22" s="13">
        <v>5</v>
      </c>
      <c r="C22" s="12" t="s">
        <v>9</v>
      </c>
      <c r="D22" s="14" t="s">
        <v>18</v>
      </c>
    </row>
    <row r="23" spans="1:4" ht="12.75">
      <c r="A23" s="12" t="s">
        <v>78</v>
      </c>
      <c r="B23" s="13">
        <v>400000</v>
      </c>
      <c r="C23" s="12" t="s">
        <v>25</v>
      </c>
      <c r="D23" s="14" t="s">
        <v>79</v>
      </c>
    </row>
    <row r="24" ht="12.75"/>
    <row r="25" spans="1:2" ht="15.75">
      <c r="A25" s="1" t="s">
        <v>11</v>
      </c>
      <c r="B25" s="10" t="s">
        <v>22</v>
      </c>
    </row>
    <row r="26" spans="1:3" ht="15.75">
      <c r="A26" s="12" t="s">
        <v>3</v>
      </c>
      <c r="B26" s="13">
        <f>IF(C22="měsíc",B21/12,B21)</f>
        <v>0.015833333333333335</v>
      </c>
      <c r="C26" s="12" t="s">
        <v>153</v>
      </c>
    </row>
    <row r="27" ht="12.75"/>
    <row r="28" spans="1:2" ht="15.75">
      <c r="A28" s="1" t="s">
        <v>13</v>
      </c>
      <c r="B28" s="10" t="s">
        <v>77</v>
      </c>
    </row>
    <row r="29" spans="1:2" ht="12.75">
      <c r="A29" s="10"/>
      <c r="B29" s="10"/>
    </row>
    <row r="30" spans="1:2" ht="12.75">
      <c r="A30" s="26" t="s">
        <v>80</v>
      </c>
      <c r="B30" s="26">
        <f>(B20*D43^2)/(2*B23^2)-B22*B26</f>
        <v>0.35149316576071715</v>
      </c>
    </row>
    <row r="31" ht="12.75"/>
    <row r="32" spans="1:9" ht="15.75">
      <c r="A32" s="2" t="s">
        <v>159</v>
      </c>
      <c r="B32" s="22" t="s">
        <v>160</v>
      </c>
      <c r="C32" s="22" t="s">
        <v>74</v>
      </c>
      <c r="D32" s="22" t="s">
        <v>81</v>
      </c>
      <c r="E32" s="22" t="s">
        <v>162</v>
      </c>
      <c r="F32" s="22" t="s">
        <v>163</v>
      </c>
      <c r="G32" s="22" t="s">
        <v>75</v>
      </c>
      <c r="H32" s="22" t="s">
        <v>164</v>
      </c>
      <c r="I32" s="22" t="s">
        <v>168</v>
      </c>
    </row>
    <row r="33" spans="1:9" ht="12.75">
      <c r="A33" s="13">
        <v>1</v>
      </c>
      <c r="B33" s="13">
        <v>11000</v>
      </c>
      <c r="C33" s="13">
        <v>62</v>
      </c>
      <c r="D33" s="36">
        <f>SQRT(B33*C33)</f>
        <v>825.8329128825031</v>
      </c>
      <c r="E33" s="13">
        <f aca="true" t="shared" si="0" ref="E33:E42">ROUND(SQRT((2*B33*$B$20)/(C33*($B$22*$B$26+$B$30))),0)</f>
        <v>1074</v>
      </c>
      <c r="F33" s="13">
        <f aca="true" t="shared" si="1" ref="F33:F42">ROUND((E33/2)*$B$22*C33*$B$26+(B33/E33)*$B$20,0)</f>
        <v>16975</v>
      </c>
      <c r="G33" s="13">
        <f>ROUND(B33/E33,0)</f>
        <v>10</v>
      </c>
      <c r="H33" s="13">
        <f>ROUND($B$22/G33*30,0)</f>
        <v>15</v>
      </c>
      <c r="I33" s="13">
        <f>E33/2*C33</f>
        <v>33294</v>
      </c>
    </row>
    <row r="34" spans="1:9" ht="12.75">
      <c r="A34" s="13">
        <v>2</v>
      </c>
      <c r="B34" s="13">
        <v>56</v>
      </c>
      <c r="C34" s="13">
        <v>1450</v>
      </c>
      <c r="D34" s="36">
        <f aca="true" t="shared" si="2" ref="D34:D42">SQRT(B34*C34)</f>
        <v>284.95613697550016</v>
      </c>
      <c r="E34" s="13">
        <f t="shared" si="0"/>
        <v>16</v>
      </c>
      <c r="F34" s="13">
        <f t="shared" si="1"/>
        <v>5818</v>
      </c>
      <c r="G34" s="13">
        <f aca="true" t="shared" si="3" ref="G34:G42">ROUND(B34/E34,0)</f>
        <v>4</v>
      </c>
      <c r="H34" s="13">
        <f aca="true" t="shared" si="4" ref="H34:H42">ROUND($B$22/G34*30,0)</f>
        <v>38</v>
      </c>
      <c r="I34" s="13">
        <f aca="true" t="shared" si="5" ref="I34:I42">E34/2*C34</f>
        <v>11600</v>
      </c>
    </row>
    <row r="35" spans="1:9" ht="12.75">
      <c r="A35" s="13">
        <v>3</v>
      </c>
      <c r="B35" s="13">
        <v>785</v>
      </c>
      <c r="C35" s="13">
        <v>185</v>
      </c>
      <c r="D35" s="36">
        <f t="shared" si="2"/>
        <v>381.08398024582453</v>
      </c>
      <c r="E35" s="13">
        <f t="shared" si="0"/>
        <v>166</v>
      </c>
      <c r="F35" s="13">
        <f t="shared" si="1"/>
        <v>7836</v>
      </c>
      <c r="G35" s="13">
        <f t="shared" si="3"/>
        <v>5</v>
      </c>
      <c r="H35" s="13">
        <f t="shared" si="4"/>
        <v>30</v>
      </c>
      <c r="I35" s="13">
        <f t="shared" si="5"/>
        <v>15355</v>
      </c>
    </row>
    <row r="36" spans="1:9" ht="12.75">
      <c r="A36" s="13">
        <v>4</v>
      </c>
      <c r="B36" s="13">
        <v>195000</v>
      </c>
      <c r="C36" s="13">
        <v>7</v>
      </c>
      <c r="D36" s="36">
        <f t="shared" si="2"/>
        <v>1168.3321445547922</v>
      </c>
      <c r="E36" s="13">
        <f t="shared" si="0"/>
        <v>13458</v>
      </c>
      <c r="F36" s="13">
        <f t="shared" si="1"/>
        <v>24014</v>
      </c>
      <c r="G36" s="13">
        <f t="shared" si="3"/>
        <v>14</v>
      </c>
      <c r="H36" s="13">
        <f t="shared" si="4"/>
        <v>11</v>
      </c>
      <c r="I36" s="13">
        <f t="shared" si="5"/>
        <v>47103</v>
      </c>
    </row>
    <row r="37" spans="1:9" ht="12.75">
      <c r="A37" s="13">
        <v>5</v>
      </c>
      <c r="B37" s="13">
        <v>386</v>
      </c>
      <c r="C37" s="13">
        <v>245</v>
      </c>
      <c r="D37" s="36">
        <f t="shared" si="2"/>
        <v>307.52235691084314</v>
      </c>
      <c r="E37" s="13">
        <f t="shared" si="0"/>
        <v>101</v>
      </c>
      <c r="F37" s="13">
        <f t="shared" si="1"/>
        <v>6330</v>
      </c>
      <c r="G37" s="13">
        <f t="shared" si="3"/>
        <v>4</v>
      </c>
      <c r="H37" s="13">
        <f t="shared" si="4"/>
        <v>38</v>
      </c>
      <c r="I37" s="13">
        <f t="shared" si="5"/>
        <v>12372.5</v>
      </c>
    </row>
    <row r="38" spans="1:9" ht="12.75">
      <c r="A38" s="13">
        <v>6</v>
      </c>
      <c r="B38" s="13">
        <v>38</v>
      </c>
      <c r="C38" s="13">
        <v>13800</v>
      </c>
      <c r="D38" s="36">
        <f t="shared" si="2"/>
        <v>724.1546796092669</v>
      </c>
      <c r="E38" s="13">
        <f t="shared" si="0"/>
        <v>4</v>
      </c>
      <c r="F38" s="13">
        <f t="shared" si="1"/>
        <v>15485</v>
      </c>
      <c r="G38" s="13">
        <f t="shared" si="3"/>
        <v>10</v>
      </c>
      <c r="H38" s="13">
        <f t="shared" si="4"/>
        <v>15</v>
      </c>
      <c r="I38" s="13">
        <f t="shared" si="5"/>
        <v>27600</v>
      </c>
    </row>
    <row r="39" spans="1:9" ht="12.75">
      <c r="A39" s="13">
        <v>7</v>
      </c>
      <c r="B39" s="13">
        <v>6400</v>
      </c>
      <c r="C39" s="13">
        <v>655</v>
      </c>
      <c r="D39" s="36">
        <f t="shared" si="2"/>
        <v>2047.4374227311564</v>
      </c>
      <c r="E39" s="13">
        <f t="shared" si="0"/>
        <v>252</v>
      </c>
      <c r="F39" s="13">
        <f t="shared" si="1"/>
        <v>42089</v>
      </c>
      <c r="G39" s="13">
        <f t="shared" si="3"/>
        <v>25</v>
      </c>
      <c r="H39" s="13">
        <f t="shared" si="4"/>
        <v>6</v>
      </c>
      <c r="I39" s="13">
        <f t="shared" si="5"/>
        <v>82530</v>
      </c>
    </row>
    <row r="40" spans="1:9" ht="12.75">
      <c r="A40" s="13">
        <v>8</v>
      </c>
      <c r="B40" s="13">
        <v>1350</v>
      </c>
      <c r="C40" s="13">
        <v>2350</v>
      </c>
      <c r="D40" s="36">
        <f t="shared" si="2"/>
        <v>1781.1513130556875</v>
      </c>
      <c r="E40" s="13">
        <f t="shared" si="0"/>
        <v>61</v>
      </c>
      <c r="F40" s="13">
        <f t="shared" si="1"/>
        <v>36658</v>
      </c>
      <c r="G40" s="13">
        <f t="shared" si="3"/>
        <v>22</v>
      </c>
      <c r="H40" s="13">
        <f t="shared" si="4"/>
        <v>7</v>
      </c>
      <c r="I40" s="13">
        <f t="shared" si="5"/>
        <v>71675</v>
      </c>
    </row>
    <row r="41" spans="1:9" ht="12.75">
      <c r="A41" s="13">
        <v>9</v>
      </c>
      <c r="B41" s="13">
        <v>2350</v>
      </c>
      <c r="C41" s="13">
        <v>895</v>
      </c>
      <c r="D41" s="36">
        <f t="shared" si="2"/>
        <v>1450.2585976300916</v>
      </c>
      <c r="E41" s="13">
        <f t="shared" si="0"/>
        <v>131</v>
      </c>
      <c r="F41" s="13">
        <f t="shared" si="1"/>
        <v>29755</v>
      </c>
      <c r="G41" s="13">
        <f t="shared" si="3"/>
        <v>18</v>
      </c>
      <c r="H41" s="13">
        <f t="shared" si="4"/>
        <v>8</v>
      </c>
      <c r="I41" s="13">
        <f t="shared" si="5"/>
        <v>58622.5</v>
      </c>
    </row>
    <row r="42" spans="1:9" ht="12.75">
      <c r="A42" s="13">
        <v>10</v>
      </c>
      <c r="B42" s="13">
        <v>452000</v>
      </c>
      <c r="C42" s="13">
        <v>2</v>
      </c>
      <c r="D42" s="36">
        <f t="shared" si="2"/>
        <v>950.789145920377</v>
      </c>
      <c r="E42" s="13">
        <f t="shared" si="0"/>
        <v>38332</v>
      </c>
      <c r="F42" s="13">
        <f t="shared" si="1"/>
        <v>19543</v>
      </c>
      <c r="G42" s="13">
        <f t="shared" si="3"/>
        <v>12</v>
      </c>
      <c r="H42" s="13">
        <f t="shared" si="4"/>
        <v>13</v>
      </c>
      <c r="I42" s="13">
        <f t="shared" si="5"/>
        <v>38332</v>
      </c>
    </row>
    <row r="43" spans="3:11" ht="12.75">
      <c r="C43" s="22" t="s">
        <v>76</v>
      </c>
      <c r="D43" s="37">
        <f>SUM(D33:D42)</f>
        <v>9921.518690516043</v>
      </c>
      <c r="E43" s="22"/>
      <c r="F43" s="22">
        <f>SUM(F33:F42)</f>
        <v>204503</v>
      </c>
      <c r="G43" s="22">
        <f>SUM(G33:G42)</f>
        <v>124</v>
      </c>
      <c r="H43" s="12"/>
      <c r="I43" s="22">
        <f>SUM(I33:I42)</f>
        <v>398484</v>
      </c>
      <c r="K43" s="10" t="s">
        <v>170</v>
      </c>
    </row>
  </sheetData>
  <mergeCells count="1">
    <mergeCell ref="B1:I5"/>
  </mergeCells>
  <printOptions/>
  <pageMargins left="0.75" right="0.75" top="1" bottom="1" header="0.4921259845" footer="0.492125984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9.140625" defaultRowHeight="12.75"/>
  <cols>
    <col min="1" max="1" width="9.421875" style="11" bestFit="1" customWidth="1"/>
    <col min="2" max="2" width="9.7109375" style="11" customWidth="1"/>
    <col min="3" max="3" width="26.28125" style="11" customWidth="1"/>
    <col min="4" max="4" width="34.140625" style="11" customWidth="1"/>
    <col min="5" max="16384" width="9.140625" style="11" customWidth="1"/>
  </cols>
  <sheetData>
    <row r="1" spans="1:10" ht="12.75">
      <c r="A1" s="1" t="s">
        <v>133</v>
      </c>
      <c r="B1" s="64" t="s">
        <v>171</v>
      </c>
      <c r="C1" s="64"/>
      <c r="D1" s="64"/>
      <c r="E1" s="64"/>
      <c r="F1" s="64"/>
      <c r="G1" s="64"/>
      <c r="H1" s="31"/>
      <c r="I1" s="31"/>
      <c r="J1" s="31"/>
    </row>
    <row r="2" spans="2:10" ht="12.75">
      <c r="B2" s="64"/>
      <c r="C2" s="64"/>
      <c r="D2" s="64"/>
      <c r="E2" s="64"/>
      <c r="F2" s="64"/>
      <c r="G2" s="64"/>
      <c r="H2" s="31"/>
      <c r="I2" s="31"/>
      <c r="J2" s="31"/>
    </row>
    <row r="3" spans="2:10" ht="12.75">
      <c r="B3" s="64"/>
      <c r="C3" s="64"/>
      <c r="D3" s="64"/>
      <c r="E3" s="64"/>
      <c r="F3" s="64"/>
      <c r="G3" s="64"/>
      <c r="H3" s="31"/>
      <c r="I3" s="31"/>
      <c r="J3" s="31"/>
    </row>
    <row r="4" spans="2:10" ht="12.75">
      <c r="B4" s="64"/>
      <c r="C4" s="64"/>
      <c r="D4" s="64"/>
      <c r="E4" s="64"/>
      <c r="F4" s="64"/>
      <c r="G4" s="64"/>
      <c r="H4" s="31"/>
      <c r="I4" s="31"/>
      <c r="J4" s="31"/>
    </row>
    <row r="5" ht="12.75"/>
    <row r="6" spans="2:4" ht="12.75">
      <c r="B6" s="22" t="s">
        <v>159</v>
      </c>
      <c r="C6" s="22" t="s">
        <v>73</v>
      </c>
      <c r="D6" s="22" t="s">
        <v>74</v>
      </c>
    </row>
    <row r="7" spans="2:4" ht="12.75">
      <c r="B7" s="13">
        <v>1</v>
      </c>
      <c r="C7" s="13">
        <v>11000</v>
      </c>
      <c r="D7" s="13">
        <v>62</v>
      </c>
    </row>
    <row r="8" spans="2:4" ht="12.75">
      <c r="B8" s="13">
        <v>2</v>
      </c>
      <c r="C8" s="13">
        <v>56</v>
      </c>
      <c r="D8" s="13">
        <v>1450</v>
      </c>
    </row>
    <row r="9" spans="2:4" ht="12.75">
      <c r="B9" s="13">
        <v>3</v>
      </c>
      <c r="C9" s="13">
        <v>785</v>
      </c>
      <c r="D9" s="13">
        <v>185</v>
      </c>
    </row>
    <row r="10" spans="2:4" ht="12.75">
      <c r="B10" s="13">
        <v>4</v>
      </c>
      <c r="C10" s="13">
        <v>195000</v>
      </c>
      <c r="D10" s="13">
        <v>7</v>
      </c>
    </row>
    <row r="11" spans="2:4" ht="12.75">
      <c r="B11" s="13">
        <v>5</v>
      </c>
      <c r="C11" s="13">
        <v>386</v>
      </c>
      <c r="D11" s="13">
        <v>245</v>
      </c>
    </row>
    <row r="12" spans="2:4" ht="12.75">
      <c r="B12" s="13">
        <v>6</v>
      </c>
      <c r="C12" s="13">
        <v>38</v>
      </c>
      <c r="D12" s="13">
        <v>13800</v>
      </c>
    </row>
    <row r="13" spans="2:4" ht="12.75">
      <c r="B13" s="13">
        <v>7</v>
      </c>
      <c r="C13" s="13">
        <v>6400</v>
      </c>
      <c r="D13" s="13">
        <v>655</v>
      </c>
    </row>
    <row r="14" spans="2:4" ht="12.75">
      <c r="B14" s="13">
        <v>8</v>
      </c>
      <c r="C14" s="13">
        <v>1350</v>
      </c>
      <c r="D14" s="13">
        <v>2350</v>
      </c>
    </row>
    <row r="15" spans="2:4" ht="12.75">
      <c r="B15" s="13">
        <v>9</v>
      </c>
      <c r="C15" s="13">
        <v>2350</v>
      </c>
      <c r="D15" s="13">
        <v>895</v>
      </c>
    </row>
    <row r="16" spans="2:4" ht="12.75">
      <c r="B16" s="13">
        <v>10</v>
      </c>
      <c r="C16" s="13">
        <v>452000</v>
      </c>
      <c r="D16" s="13">
        <v>2</v>
      </c>
    </row>
    <row r="17" ht="12.75"/>
    <row r="18" spans="1:2" ht="12.75">
      <c r="A18" s="1" t="s">
        <v>0</v>
      </c>
      <c r="B18" s="10" t="s">
        <v>10</v>
      </c>
    </row>
    <row r="19" spans="1:4" ht="15.75">
      <c r="A19" s="12" t="s">
        <v>2</v>
      </c>
      <c r="B19" s="13">
        <v>1200</v>
      </c>
      <c r="C19" s="12" t="s">
        <v>6</v>
      </c>
      <c r="D19" s="14" t="s">
        <v>15</v>
      </c>
    </row>
    <row r="20" spans="1:4" ht="15.75">
      <c r="A20" s="12" t="s">
        <v>3</v>
      </c>
      <c r="B20" s="33">
        <v>0.19</v>
      </c>
      <c r="C20" s="12" t="s">
        <v>12</v>
      </c>
      <c r="D20" s="14" t="s">
        <v>16</v>
      </c>
    </row>
    <row r="21" spans="1:4" ht="15.75">
      <c r="A21" s="12" t="s">
        <v>8</v>
      </c>
      <c r="B21" s="13">
        <v>17</v>
      </c>
      <c r="C21" s="12" t="s">
        <v>9</v>
      </c>
      <c r="D21" s="14" t="s">
        <v>18</v>
      </c>
    </row>
    <row r="22" spans="1:4" ht="12.75">
      <c r="A22" s="12" t="s">
        <v>82</v>
      </c>
      <c r="B22" s="13">
        <v>70</v>
      </c>
      <c r="C22" s="12" t="s">
        <v>84</v>
      </c>
      <c r="D22" s="14" t="s">
        <v>83</v>
      </c>
    </row>
    <row r="23" ht="12.75"/>
    <row r="24" spans="1:2" ht="15.75">
      <c r="A24" s="1" t="s">
        <v>11</v>
      </c>
      <c r="B24" s="10" t="s">
        <v>22</v>
      </c>
    </row>
    <row r="25" spans="1:3" ht="15.75">
      <c r="A25" s="12" t="s">
        <v>3</v>
      </c>
      <c r="B25" s="13">
        <f>IF(C21="měsíc",B20/12,B20)</f>
        <v>0.015833333333333335</v>
      </c>
      <c r="C25" s="12" t="s">
        <v>153</v>
      </c>
    </row>
    <row r="26" ht="12.75"/>
    <row r="27" spans="1:2" ht="15.75">
      <c r="A27" s="1" t="s">
        <v>13</v>
      </c>
      <c r="B27" s="10" t="s">
        <v>85</v>
      </c>
    </row>
    <row r="28" spans="1:2" ht="12.75">
      <c r="A28" s="10"/>
      <c r="B28" s="10"/>
    </row>
    <row r="29" spans="1:2" ht="12.75">
      <c r="A29" s="26" t="s">
        <v>86</v>
      </c>
      <c r="B29" s="26">
        <f>(B21*B25*D42^2)/(2*B22^2)-B19</f>
        <v>1503.6564795732747</v>
      </c>
    </row>
    <row r="30" ht="12.75"/>
    <row r="31" spans="1:8" ht="15.75">
      <c r="A31" s="22" t="s">
        <v>159</v>
      </c>
      <c r="B31" s="22" t="s">
        <v>160</v>
      </c>
      <c r="C31" s="22" t="s">
        <v>74</v>
      </c>
      <c r="D31" s="22" t="s">
        <v>81</v>
      </c>
      <c r="E31" s="22" t="s">
        <v>162</v>
      </c>
      <c r="F31" s="22" t="s">
        <v>163</v>
      </c>
      <c r="G31" s="22" t="s">
        <v>75</v>
      </c>
      <c r="H31" s="22" t="s">
        <v>164</v>
      </c>
    </row>
    <row r="32" spans="1:8" ht="12.75">
      <c r="A32" s="13">
        <v>1</v>
      </c>
      <c r="B32" s="13">
        <v>11000</v>
      </c>
      <c r="C32" s="13">
        <v>62</v>
      </c>
      <c r="D32" s="36">
        <f>SQRT(B32*C32)</f>
        <v>825.8329128825031</v>
      </c>
      <c r="E32" s="13">
        <f aca="true" t="shared" si="0" ref="E32:E41">ROUND(SQRT((2*B32*($B$19+$B$29))/(C32*$B$21*$B$25)),0)</f>
        <v>1888</v>
      </c>
      <c r="F32" s="13">
        <f aca="true" t="shared" si="1" ref="F32:F41">ROUND((E32/2)*$B$21*C32*$B$25+(B32/E32)*$B$19,0)</f>
        <v>22745</v>
      </c>
      <c r="G32" s="13">
        <f>ROUND(B32/E32,0)</f>
        <v>6</v>
      </c>
      <c r="H32" s="13">
        <f>ROUND($B$21/G32*30,0)</f>
        <v>85</v>
      </c>
    </row>
    <row r="33" spans="1:8" ht="12.75">
      <c r="A33" s="13">
        <v>2</v>
      </c>
      <c r="B33" s="13">
        <v>56</v>
      </c>
      <c r="C33" s="13">
        <v>1450</v>
      </c>
      <c r="D33" s="36">
        <f aca="true" t="shared" si="2" ref="D33:D41">SQRT(B33*C33)</f>
        <v>284.95613697550016</v>
      </c>
      <c r="E33" s="13">
        <f t="shared" si="0"/>
        <v>28</v>
      </c>
      <c r="F33" s="13">
        <f t="shared" si="1"/>
        <v>7864</v>
      </c>
      <c r="G33" s="13">
        <f aca="true" t="shared" si="3" ref="G33:G41">ROUND(B33/E33,0)</f>
        <v>2</v>
      </c>
      <c r="H33" s="13">
        <f aca="true" t="shared" si="4" ref="H33:H41">ROUND($B$21/G33*30,0)</f>
        <v>255</v>
      </c>
    </row>
    <row r="34" spans="1:8" ht="12.75">
      <c r="A34" s="13">
        <v>3</v>
      </c>
      <c r="B34" s="13">
        <v>785</v>
      </c>
      <c r="C34" s="13">
        <v>185</v>
      </c>
      <c r="D34" s="36">
        <f t="shared" si="2"/>
        <v>381.08398024582453</v>
      </c>
      <c r="E34" s="13">
        <f t="shared" si="0"/>
        <v>292</v>
      </c>
      <c r="F34" s="13">
        <f t="shared" si="1"/>
        <v>10496</v>
      </c>
      <c r="G34" s="13">
        <f t="shared" si="3"/>
        <v>3</v>
      </c>
      <c r="H34" s="13">
        <f t="shared" si="4"/>
        <v>170</v>
      </c>
    </row>
    <row r="35" spans="1:8" ht="12.75">
      <c r="A35" s="13">
        <v>4</v>
      </c>
      <c r="B35" s="13">
        <v>195000</v>
      </c>
      <c r="C35" s="13">
        <v>7</v>
      </c>
      <c r="D35" s="36">
        <f t="shared" si="2"/>
        <v>1168.3321445547922</v>
      </c>
      <c r="E35" s="13">
        <f t="shared" si="0"/>
        <v>23656</v>
      </c>
      <c r="F35" s="13">
        <f t="shared" si="1"/>
        <v>32178</v>
      </c>
      <c r="G35" s="13">
        <f t="shared" si="3"/>
        <v>8</v>
      </c>
      <c r="H35" s="13">
        <f t="shared" si="4"/>
        <v>64</v>
      </c>
    </row>
    <row r="36" spans="1:8" ht="12.75">
      <c r="A36" s="13">
        <v>5</v>
      </c>
      <c r="B36" s="13">
        <v>386</v>
      </c>
      <c r="C36" s="13">
        <v>245</v>
      </c>
      <c r="D36" s="36">
        <f t="shared" si="2"/>
        <v>307.52235691084314</v>
      </c>
      <c r="E36" s="13">
        <f t="shared" si="0"/>
        <v>178</v>
      </c>
      <c r="F36" s="13">
        <f t="shared" si="1"/>
        <v>8471</v>
      </c>
      <c r="G36" s="13">
        <f t="shared" si="3"/>
        <v>2</v>
      </c>
      <c r="H36" s="13">
        <f t="shared" si="4"/>
        <v>255</v>
      </c>
    </row>
    <row r="37" spans="1:8" ht="12.75">
      <c r="A37" s="13">
        <v>6</v>
      </c>
      <c r="B37" s="13">
        <v>38</v>
      </c>
      <c r="C37" s="13">
        <v>13800</v>
      </c>
      <c r="D37" s="36">
        <f t="shared" si="2"/>
        <v>724.1546796092669</v>
      </c>
      <c r="E37" s="13">
        <f t="shared" si="0"/>
        <v>7</v>
      </c>
      <c r="F37" s="13">
        <f t="shared" si="1"/>
        <v>19515</v>
      </c>
      <c r="G37" s="13">
        <f t="shared" si="3"/>
        <v>5</v>
      </c>
      <c r="H37" s="13">
        <f t="shared" si="4"/>
        <v>102</v>
      </c>
    </row>
    <row r="38" spans="1:8" ht="12.75">
      <c r="A38" s="13">
        <v>7</v>
      </c>
      <c r="B38" s="13">
        <v>6400</v>
      </c>
      <c r="C38" s="13">
        <v>655</v>
      </c>
      <c r="D38" s="36">
        <f t="shared" si="2"/>
        <v>2047.4374227311564</v>
      </c>
      <c r="E38" s="13">
        <f t="shared" si="0"/>
        <v>443</v>
      </c>
      <c r="F38" s="13">
        <f t="shared" si="1"/>
        <v>56388</v>
      </c>
      <c r="G38" s="13">
        <f t="shared" si="3"/>
        <v>14</v>
      </c>
      <c r="H38" s="13">
        <f t="shared" si="4"/>
        <v>36</v>
      </c>
    </row>
    <row r="39" spans="1:8" ht="12.75">
      <c r="A39" s="13">
        <v>8</v>
      </c>
      <c r="B39" s="13">
        <v>1350</v>
      </c>
      <c r="C39" s="13">
        <v>2350</v>
      </c>
      <c r="D39" s="36">
        <f t="shared" si="2"/>
        <v>1781.1513130556875</v>
      </c>
      <c r="E39" s="13">
        <f t="shared" si="0"/>
        <v>107</v>
      </c>
      <c r="F39" s="13">
        <f t="shared" si="1"/>
        <v>48981</v>
      </c>
      <c r="G39" s="13">
        <f t="shared" si="3"/>
        <v>13</v>
      </c>
      <c r="H39" s="13">
        <f t="shared" si="4"/>
        <v>39</v>
      </c>
    </row>
    <row r="40" spans="1:8" ht="12.75">
      <c r="A40" s="13">
        <v>9</v>
      </c>
      <c r="B40" s="13">
        <v>2350</v>
      </c>
      <c r="C40" s="13">
        <v>895</v>
      </c>
      <c r="D40" s="36">
        <f t="shared" si="2"/>
        <v>1450.2585976300916</v>
      </c>
      <c r="E40" s="13">
        <f t="shared" si="0"/>
        <v>230</v>
      </c>
      <c r="F40" s="13">
        <f t="shared" si="1"/>
        <v>39965</v>
      </c>
      <c r="G40" s="13">
        <f t="shared" si="3"/>
        <v>10</v>
      </c>
      <c r="H40" s="13">
        <f t="shared" si="4"/>
        <v>51</v>
      </c>
    </row>
    <row r="41" spans="1:8" ht="12.75">
      <c r="A41" s="13">
        <v>10</v>
      </c>
      <c r="B41" s="13">
        <v>452000</v>
      </c>
      <c r="C41" s="13">
        <v>2</v>
      </c>
      <c r="D41" s="36">
        <f t="shared" si="2"/>
        <v>950.789145920377</v>
      </c>
      <c r="E41" s="13">
        <f t="shared" si="0"/>
        <v>67381</v>
      </c>
      <c r="F41" s="13">
        <f t="shared" si="1"/>
        <v>26186</v>
      </c>
      <c r="G41" s="13">
        <f t="shared" si="3"/>
        <v>7</v>
      </c>
      <c r="H41" s="13">
        <f t="shared" si="4"/>
        <v>73</v>
      </c>
    </row>
    <row r="42" spans="3:9" ht="12.75">
      <c r="C42" s="22" t="s">
        <v>76</v>
      </c>
      <c r="D42" s="37">
        <f>SUM(D32:D41)</f>
        <v>9921.518690516043</v>
      </c>
      <c r="E42" s="22"/>
      <c r="F42" s="22">
        <f>SUM(F32:F41)</f>
        <v>272789</v>
      </c>
      <c r="G42" s="22">
        <f>SUM(G32:G41)</f>
        <v>70</v>
      </c>
      <c r="H42" s="12"/>
      <c r="I42" s="10" t="s">
        <v>172</v>
      </c>
    </row>
  </sheetData>
  <mergeCells count="1">
    <mergeCell ref="B1:G4"/>
  </mergeCells>
  <printOptions/>
  <pageMargins left="0.75" right="0.75" top="1" bottom="1" header="0.4921259845" footer="0.492125984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L33"/>
  <sheetViews>
    <sheetView workbookViewId="0" topLeftCell="A1">
      <selection activeCell="A1" sqref="A1"/>
    </sheetView>
  </sheetViews>
  <sheetFormatPr defaultColWidth="9.140625" defaultRowHeight="12.75"/>
  <cols>
    <col min="1" max="1" width="9.140625" style="11" customWidth="1"/>
    <col min="2" max="2" width="9.57421875" style="11" customWidth="1"/>
    <col min="3" max="3" width="26.421875" style="11" customWidth="1"/>
    <col min="4" max="4" width="35.57421875" style="11" customWidth="1"/>
    <col min="5" max="5" width="15.00390625" style="11" customWidth="1"/>
    <col min="6" max="6" width="9.140625" style="11" customWidth="1"/>
    <col min="7" max="7" width="9.8515625" style="11" customWidth="1"/>
    <col min="8" max="16384" width="9.140625" style="11" customWidth="1"/>
  </cols>
  <sheetData>
    <row r="1" spans="1:7" ht="12.75">
      <c r="A1" s="1" t="s">
        <v>133</v>
      </c>
      <c r="B1" s="65" t="s">
        <v>167</v>
      </c>
      <c r="C1" s="65"/>
      <c r="D1" s="65"/>
      <c r="E1" s="65"/>
      <c r="F1" s="65"/>
      <c r="G1" s="65"/>
    </row>
    <row r="2" spans="2:7" ht="12.75">
      <c r="B2" s="65"/>
      <c r="C2" s="65"/>
      <c r="D2" s="65"/>
      <c r="E2" s="65"/>
      <c r="F2" s="65"/>
      <c r="G2" s="65"/>
    </row>
    <row r="3" spans="2:7" ht="12.75">
      <c r="B3" s="65"/>
      <c r="C3" s="65"/>
      <c r="D3" s="65"/>
      <c r="E3" s="65"/>
      <c r="F3" s="65"/>
      <c r="G3" s="65"/>
    </row>
    <row r="4" spans="2:7" ht="12.75">
      <c r="B4" s="65"/>
      <c r="C4" s="65"/>
      <c r="D4" s="65"/>
      <c r="E4" s="65"/>
      <c r="F4" s="65"/>
      <c r="G4" s="65"/>
    </row>
    <row r="5" spans="2:7" ht="12.75">
      <c r="B5" s="65"/>
      <c r="C5" s="65"/>
      <c r="D5" s="65"/>
      <c r="E5" s="65"/>
      <c r="F5" s="65"/>
      <c r="G5" s="65"/>
    </row>
    <row r="6" spans="2:5" ht="15.75">
      <c r="B6" s="2" t="s">
        <v>159</v>
      </c>
      <c r="C6" s="22" t="s">
        <v>73</v>
      </c>
      <c r="D6" s="22" t="s">
        <v>74</v>
      </c>
      <c r="E6" s="22" t="s">
        <v>91</v>
      </c>
    </row>
    <row r="7" spans="2:5" ht="12.75">
      <c r="B7" s="13">
        <v>1</v>
      </c>
      <c r="C7" s="13">
        <v>15000</v>
      </c>
      <c r="D7" s="13">
        <v>62</v>
      </c>
      <c r="E7" s="13">
        <v>1</v>
      </c>
    </row>
    <row r="8" spans="2:5" ht="12.75">
      <c r="B8" s="13">
        <v>2</v>
      </c>
      <c r="C8" s="13">
        <v>161</v>
      </c>
      <c r="D8" s="13">
        <v>1450</v>
      </c>
      <c r="E8" s="13">
        <v>0.5</v>
      </c>
    </row>
    <row r="9" spans="2:5" ht="12.75">
      <c r="B9" s="13">
        <v>3</v>
      </c>
      <c r="C9" s="13">
        <v>542</v>
      </c>
      <c r="D9" s="13">
        <v>185</v>
      </c>
      <c r="E9" s="13">
        <v>0.25</v>
      </c>
    </row>
    <row r="10" spans="2:5" ht="12.75">
      <c r="B10" s="13">
        <v>4</v>
      </c>
      <c r="C10" s="13">
        <v>174000</v>
      </c>
      <c r="D10" s="13">
        <v>7</v>
      </c>
      <c r="E10" s="13">
        <v>0.44</v>
      </c>
    </row>
    <row r="11" spans="2:5" ht="12.75">
      <c r="B11" s="13">
        <v>5</v>
      </c>
      <c r="C11" s="13">
        <v>254</v>
      </c>
      <c r="D11" s="13">
        <v>245</v>
      </c>
      <c r="E11" s="13">
        <v>0.66</v>
      </c>
    </row>
    <row r="12" ht="12.75"/>
    <row r="13" spans="1:2" ht="12.75">
      <c r="A13" s="1" t="s">
        <v>0</v>
      </c>
      <c r="B13" s="10" t="s">
        <v>10</v>
      </c>
    </row>
    <row r="14" spans="1:4" ht="15.75">
      <c r="A14" s="12" t="s">
        <v>2</v>
      </c>
      <c r="B14" s="13">
        <v>1200</v>
      </c>
      <c r="C14" s="12" t="s">
        <v>6</v>
      </c>
      <c r="D14" s="14" t="s">
        <v>15</v>
      </c>
    </row>
    <row r="15" spans="1:4" ht="15.75">
      <c r="A15" s="12" t="s">
        <v>3</v>
      </c>
      <c r="B15" s="33">
        <v>0.19</v>
      </c>
      <c r="C15" s="12" t="s">
        <v>12</v>
      </c>
      <c r="D15" s="14" t="s">
        <v>16</v>
      </c>
    </row>
    <row r="16" spans="1:4" ht="15.75">
      <c r="A16" s="12" t="s">
        <v>8</v>
      </c>
      <c r="B16" s="13">
        <v>6</v>
      </c>
      <c r="C16" s="12" t="s">
        <v>9</v>
      </c>
      <c r="D16" s="14" t="s">
        <v>18</v>
      </c>
    </row>
    <row r="17" spans="1:4" ht="14.25">
      <c r="A17" s="12" t="s">
        <v>87</v>
      </c>
      <c r="B17" s="13">
        <v>3000</v>
      </c>
      <c r="C17" s="12" t="s">
        <v>90</v>
      </c>
      <c r="D17" s="14" t="s">
        <v>88</v>
      </c>
    </row>
    <row r="18" ht="12.75"/>
    <row r="19" spans="1:2" ht="15.75">
      <c r="A19" s="1" t="s">
        <v>11</v>
      </c>
      <c r="B19" s="10" t="s">
        <v>22</v>
      </c>
    </row>
    <row r="20" spans="1:3" ht="15.75">
      <c r="A20" s="12" t="s">
        <v>3</v>
      </c>
      <c r="B20" s="13">
        <f>IF(C16="měsíc",B15/12,B15)</f>
        <v>0.015833333333333335</v>
      </c>
      <c r="C20" s="12" t="s">
        <v>153</v>
      </c>
    </row>
    <row r="21" ht="12.75"/>
    <row r="22" spans="1:2" ht="15.75">
      <c r="A22" s="1" t="s">
        <v>13</v>
      </c>
      <c r="B22" s="10" t="s">
        <v>92</v>
      </c>
    </row>
    <row r="23" spans="1:2" ht="12.75">
      <c r="A23" s="10"/>
      <c r="B23" s="10"/>
    </row>
    <row r="24" spans="1:6" ht="12.75">
      <c r="A24" s="7" t="s">
        <v>89</v>
      </c>
      <c r="B24" s="7">
        <v>22.127</v>
      </c>
      <c r="C24" s="7" t="s">
        <v>87</v>
      </c>
      <c r="D24" s="7">
        <f>E33</f>
        <v>3000.0263717783027</v>
      </c>
      <c r="F24" s="10"/>
    </row>
    <row r="25" ht="12.75"/>
    <row r="26" ht="12.75"/>
    <row r="27" spans="1:10" ht="15.75">
      <c r="A27" s="2" t="s">
        <v>159</v>
      </c>
      <c r="B27" s="22" t="s">
        <v>160</v>
      </c>
      <c r="C27" s="22" t="s">
        <v>74</v>
      </c>
      <c r="D27" s="22" t="s">
        <v>91</v>
      </c>
      <c r="E27" s="22" t="s">
        <v>93</v>
      </c>
      <c r="F27" s="22" t="s">
        <v>162</v>
      </c>
      <c r="G27" s="22" t="s">
        <v>163</v>
      </c>
      <c r="H27" s="22" t="s">
        <v>75</v>
      </c>
      <c r="I27" s="22" t="s">
        <v>164</v>
      </c>
      <c r="J27" s="22" t="s">
        <v>94</v>
      </c>
    </row>
    <row r="28" spans="1:10" ht="12.75">
      <c r="A28" s="13">
        <v>1</v>
      </c>
      <c r="B28" s="13">
        <v>15000</v>
      </c>
      <c r="C28" s="13">
        <v>62</v>
      </c>
      <c r="D28" s="13">
        <v>1</v>
      </c>
      <c r="E28" s="13">
        <f>SQRT((2*B28*$B$14*D28^2)/(C28*$B$16*$B$20+2*$B$24*D28))</f>
        <v>847.3088898495778</v>
      </c>
      <c r="F28" s="13">
        <f>ROUND(SQRT((2*B28*$B$14)/(C28*$B$16*$B$20+2*$B$24*D28)),0)</f>
        <v>847</v>
      </c>
      <c r="G28" s="13">
        <f>ROUND((F28/2)*$B$16*C28*$B$20+(B28/F28)*$B$14,0)</f>
        <v>23746</v>
      </c>
      <c r="H28" s="35">
        <f>ROUND(B28/F28,0)</f>
        <v>18</v>
      </c>
      <c r="I28" s="13">
        <f>ROUND($B$16/H28*30,0)</f>
        <v>10</v>
      </c>
      <c r="J28" s="13">
        <f>F28*D28</f>
        <v>847</v>
      </c>
    </row>
    <row r="29" spans="1:10" ht="12.75">
      <c r="A29" s="13">
        <v>2</v>
      </c>
      <c r="B29" s="13">
        <v>161</v>
      </c>
      <c r="C29" s="13">
        <v>1450</v>
      </c>
      <c r="D29" s="13">
        <v>0.5</v>
      </c>
      <c r="E29" s="13">
        <f>SQRT((2*B29*$B$14*D29^2)/(C29*$B$16*$B$20+2*$B$24*D29))</f>
        <v>24.580774802456943</v>
      </c>
      <c r="F29" s="13">
        <f>ROUND(SQRT((2*B29*$B$14)/(C29*$B$16*$B$20+2*$B$24*D29)),0)</f>
        <v>49</v>
      </c>
      <c r="G29" s="13">
        <f>ROUND((F29/2)*$B$16*C29*$B$20+(B29/F29)*$B$14,0)</f>
        <v>7318</v>
      </c>
      <c r="H29" s="35">
        <f>ROUND(B29/F29,0)</f>
        <v>3</v>
      </c>
      <c r="I29" s="13">
        <f>ROUND($B$16/H29*30,0)</f>
        <v>60</v>
      </c>
      <c r="J29" s="13">
        <f>F29*D29</f>
        <v>24.5</v>
      </c>
    </row>
    <row r="30" spans="1:10" ht="12.75">
      <c r="A30" s="13">
        <v>3</v>
      </c>
      <c r="B30" s="13">
        <v>542</v>
      </c>
      <c r="C30" s="13">
        <v>185</v>
      </c>
      <c r="D30" s="13">
        <v>0.25</v>
      </c>
      <c r="E30" s="13">
        <f>SQRT((2*B30*$B$14*D30^2)/(C30*$B$16*$B$20+2*$B$24*D30))</f>
        <v>53.28072665497636</v>
      </c>
      <c r="F30" s="13">
        <f>ROUND(SQRT((2*B30*$B$14)/(C30*$B$16*$B$20+2*$B$24*D30)),0)</f>
        <v>213</v>
      </c>
      <c r="G30" s="13">
        <f>ROUND((F30/2)*$B$16*C30*$B$20+(B30/F30)*$B$14,0)</f>
        <v>4925</v>
      </c>
      <c r="H30" s="35">
        <f>ROUND(B30/F30,0)</f>
        <v>3</v>
      </c>
      <c r="I30" s="13">
        <f>ROUND($B$16/H30*30,0)</f>
        <v>60</v>
      </c>
      <c r="J30" s="13">
        <f>F30*D30</f>
        <v>53.25</v>
      </c>
    </row>
    <row r="31" spans="1:10" ht="12.75">
      <c r="A31" s="13">
        <v>4</v>
      </c>
      <c r="B31" s="13">
        <v>174000</v>
      </c>
      <c r="C31" s="13">
        <v>7</v>
      </c>
      <c r="D31" s="13">
        <v>0.44</v>
      </c>
      <c r="E31" s="13">
        <f>SQRT((2*B31*$B$14*D31^2)/(C31*$B$16*$B$20+2*$B$24*D31))</f>
        <v>2003.7250355139277</v>
      </c>
      <c r="F31" s="13">
        <f>ROUND(SQRT((2*B31*$B$14)/(C31*$B$16*$B$20+2*$B$24*D31)),0)</f>
        <v>4554</v>
      </c>
      <c r="G31" s="13">
        <f>ROUND((F31/2)*$B$16*C31*$B$20+(B31/F31)*$B$14,0)</f>
        <v>47364</v>
      </c>
      <c r="H31" s="35">
        <f>ROUND(B31/F31,0)</f>
        <v>38</v>
      </c>
      <c r="I31" s="13">
        <f>ROUND($B$16/H31*30,0)</f>
        <v>5</v>
      </c>
      <c r="J31" s="13">
        <f>F31*D31</f>
        <v>2003.76</v>
      </c>
    </row>
    <row r="32" spans="1:10" ht="12.75">
      <c r="A32" s="13">
        <v>5</v>
      </c>
      <c r="B32" s="13">
        <v>254</v>
      </c>
      <c r="C32" s="13">
        <v>245</v>
      </c>
      <c r="D32" s="13">
        <v>0.66</v>
      </c>
      <c r="E32" s="13">
        <f>SQRT((2*B32*$B$14*D32^2)/(C32*$B$16*$B$20+2*$B$24*D32))</f>
        <v>71.13094495736424</v>
      </c>
      <c r="F32" s="13">
        <f>ROUND(SQRT((2*B32*$B$14)/(C32*$B$16*$B$20+2*$B$24*D32)),0)</f>
        <v>108</v>
      </c>
      <c r="G32" s="13">
        <f>ROUND((F32/2)*$B$16*C32*$B$20+(B32/F32)*$B$14,0)</f>
        <v>4079</v>
      </c>
      <c r="H32" s="35">
        <f>ROUND(B32/F32,0)</f>
        <v>2</v>
      </c>
      <c r="I32" s="13">
        <f>ROUND($B$16/H32*30,0)</f>
        <v>90</v>
      </c>
      <c r="J32" s="13">
        <f>F32*D32</f>
        <v>71.28</v>
      </c>
    </row>
    <row r="33" spans="3:12" ht="12.75">
      <c r="C33" s="32"/>
      <c r="D33" s="38" t="s">
        <v>76</v>
      </c>
      <c r="E33" s="7">
        <f>SUM(E28:E32)</f>
        <v>3000.0263717783027</v>
      </c>
      <c r="F33" s="22"/>
      <c r="G33" s="22">
        <f>SUM(G28:G32)</f>
        <v>87432</v>
      </c>
      <c r="H33" s="22">
        <f>SUM(H28:H32)</f>
        <v>64</v>
      </c>
      <c r="I33" s="22"/>
      <c r="J33" s="22">
        <f>SUM(J28:J32)</f>
        <v>2999.7900000000004</v>
      </c>
      <c r="L33" s="10" t="s">
        <v>165</v>
      </c>
    </row>
  </sheetData>
  <mergeCells count="1">
    <mergeCell ref="B1:G5"/>
  </mergeCells>
  <printOptions/>
  <pageMargins left="0.75" right="0.75" top="1" bottom="1" header="0.4921259845" footer="0.492125984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140625" defaultRowHeight="12.75"/>
  <cols>
    <col min="1" max="1" width="17.8515625" style="11" bestFit="1" customWidth="1"/>
    <col min="2" max="2" width="12.7109375" style="11" customWidth="1"/>
    <col min="3" max="3" width="25.7109375" style="11" customWidth="1"/>
    <col min="4" max="4" width="33.421875" style="11" customWidth="1"/>
    <col min="5" max="8" width="9.140625" style="11" customWidth="1"/>
    <col min="9" max="9" width="10.28125" style="11" bestFit="1" customWidth="1"/>
    <col min="10" max="10" width="6.421875" style="11" customWidth="1"/>
    <col min="11" max="11" width="6.00390625" style="11" bestFit="1" customWidth="1"/>
    <col min="12" max="16384" width="9.140625" style="11" customWidth="1"/>
  </cols>
  <sheetData>
    <row r="1" spans="1:9" ht="12.75">
      <c r="A1" s="1" t="s">
        <v>133</v>
      </c>
      <c r="B1" s="65" t="s">
        <v>173</v>
      </c>
      <c r="C1" s="74"/>
      <c r="D1" s="74"/>
      <c r="E1" s="74"/>
      <c r="F1" s="74"/>
      <c r="G1" s="74"/>
      <c r="H1" s="31"/>
      <c r="I1" s="31"/>
    </row>
    <row r="2" spans="2:9" ht="12.75">
      <c r="B2" s="74"/>
      <c r="C2" s="74"/>
      <c r="D2" s="74"/>
      <c r="E2" s="74"/>
      <c r="F2" s="74"/>
      <c r="G2" s="74"/>
      <c r="H2" s="31"/>
      <c r="I2" s="31"/>
    </row>
    <row r="3" spans="2:9" ht="12.75">
      <c r="B3" s="74"/>
      <c r="C3" s="74"/>
      <c r="D3" s="74"/>
      <c r="E3" s="74"/>
      <c r="F3" s="74"/>
      <c r="G3" s="74"/>
      <c r="H3" s="31"/>
      <c r="I3" s="31"/>
    </row>
    <row r="4" spans="2:9" ht="12.75">
      <c r="B4" s="74"/>
      <c r="C4" s="74"/>
      <c r="D4" s="74"/>
      <c r="E4" s="74"/>
      <c r="F4" s="74"/>
      <c r="G4" s="74"/>
      <c r="H4" s="31"/>
      <c r="I4" s="31"/>
    </row>
    <row r="5" spans="2:9" ht="12.75">
      <c r="B5" s="74"/>
      <c r="C5" s="74"/>
      <c r="D5" s="74"/>
      <c r="E5" s="74"/>
      <c r="F5" s="74"/>
      <c r="G5" s="74"/>
      <c r="H5" s="31"/>
      <c r="I5" s="31"/>
    </row>
    <row r="6" spans="2:9" ht="12.75">
      <c r="B6" s="74"/>
      <c r="C6" s="74"/>
      <c r="D6" s="74"/>
      <c r="E6" s="74"/>
      <c r="F6" s="74"/>
      <c r="G6" s="74"/>
      <c r="H6" s="29"/>
      <c r="I6" s="29"/>
    </row>
    <row r="7" spans="2:9" ht="12.75">
      <c r="B7" s="39"/>
      <c r="C7" s="39"/>
      <c r="D7" s="39"/>
      <c r="E7" s="39"/>
      <c r="F7" s="39"/>
      <c r="G7" s="39"/>
      <c r="H7" s="29"/>
      <c r="I7" s="29"/>
    </row>
    <row r="8" spans="2:4" ht="12.75">
      <c r="B8" s="22" t="s">
        <v>159</v>
      </c>
      <c r="C8" s="22" t="s">
        <v>73</v>
      </c>
      <c r="D8" s="22" t="s">
        <v>74</v>
      </c>
    </row>
    <row r="9" spans="2:4" ht="12.75">
      <c r="B9" s="13">
        <v>1</v>
      </c>
      <c r="C9" s="13">
        <v>11000</v>
      </c>
      <c r="D9" s="13">
        <v>62</v>
      </c>
    </row>
    <row r="10" spans="2:4" ht="12.75">
      <c r="B10" s="13">
        <v>2</v>
      </c>
      <c r="C10" s="13">
        <v>56</v>
      </c>
      <c r="D10" s="13">
        <v>1450</v>
      </c>
    </row>
    <row r="11" spans="2:4" ht="12.75">
      <c r="B11" s="13">
        <v>3</v>
      </c>
      <c r="C11" s="13">
        <v>785</v>
      </c>
      <c r="D11" s="13">
        <v>185</v>
      </c>
    </row>
    <row r="12" spans="2:4" ht="12.75">
      <c r="B12" s="13">
        <v>4</v>
      </c>
      <c r="C12" s="13">
        <v>195000</v>
      </c>
      <c r="D12" s="13">
        <v>7</v>
      </c>
    </row>
    <row r="13" spans="2:4" ht="12.75">
      <c r="B13" s="13">
        <v>5</v>
      </c>
      <c r="C13" s="13">
        <v>386</v>
      </c>
      <c r="D13" s="13">
        <v>245</v>
      </c>
    </row>
    <row r="14" spans="2:4" ht="12.75">
      <c r="B14" s="13">
        <v>6</v>
      </c>
      <c r="C14" s="13">
        <v>38</v>
      </c>
      <c r="D14" s="13">
        <v>13800</v>
      </c>
    </row>
    <row r="15" spans="2:4" ht="12.75">
      <c r="B15" s="13">
        <v>7</v>
      </c>
      <c r="C15" s="13">
        <v>6400</v>
      </c>
      <c r="D15" s="13">
        <v>655</v>
      </c>
    </row>
    <row r="16" spans="2:4" ht="12.75">
      <c r="B16" s="13">
        <v>8</v>
      </c>
      <c r="C16" s="13">
        <v>1350</v>
      </c>
      <c r="D16" s="13">
        <v>2350</v>
      </c>
    </row>
    <row r="17" spans="2:4" ht="12.75">
      <c r="B17" s="13">
        <v>9</v>
      </c>
      <c r="C17" s="13">
        <v>2350</v>
      </c>
      <c r="D17" s="13">
        <v>895</v>
      </c>
    </row>
    <row r="18" spans="2:4" ht="12.75">
      <c r="B18" s="13">
        <v>10</v>
      </c>
      <c r="C18" s="13">
        <v>452000</v>
      </c>
      <c r="D18" s="13">
        <v>2</v>
      </c>
    </row>
    <row r="19" ht="12.75"/>
    <row r="20" spans="1:2" ht="12.75">
      <c r="A20" s="1" t="s">
        <v>0</v>
      </c>
      <c r="B20" s="10" t="s">
        <v>10</v>
      </c>
    </row>
    <row r="21" spans="1:4" ht="15.75">
      <c r="A21" s="12" t="s">
        <v>2</v>
      </c>
      <c r="B21" s="13">
        <v>1200</v>
      </c>
      <c r="C21" s="12" t="s">
        <v>6</v>
      </c>
      <c r="D21" s="14" t="s">
        <v>15</v>
      </c>
    </row>
    <row r="22" spans="1:4" ht="15.75">
      <c r="A22" s="12" t="s">
        <v>3</v>
      </c>
      <c r="B22" s="33">
        <v>0.19</v>
      </c>
      <c r="C22" s="12" t="s">
        <v>12</v>
      </c>
      <c r="D22" s="14" t="s">
        <v>16</v>
      </c>
    </row>
    <row r="23" spans="1:4" ht="15.75">
      <c r="A23" s="12" t="s">
        <v>8</v>
      </c>
      <c r="B23" s="13">
        <v>12</v>
      </c>
      <c r="C23" s="12" t="s">
        <v>9</v>
      </c>
      <c r="D23" s="14" t="s">
        <v>18</v>
      </c>
    </row>
    <row r="24" spans="1:4" ht="12.75">
      <c r="A24" s="12" t="s">
        <v>177</v>
      </c>
      <c r="B24" s="13">
        <v>0.01</v>
      </c>
      <c r="C24" s="12" t="s">
        <v>180</v>
      </c>
      <c r="D24" s="14" t="s">
        <v>181</v>
      </c>
    </row>
    <row r="25" ht="12.75"/>
    <row r="26" spans="1:2" ht="15.75">
      <c r="A26" s="1" t="s">
        <v>11</v>
      </c>
      <c r="B26" s="10" t="s">
        <v>22</v>
      </c>
    </row>
    <row r="27" spans="1:3" ht="15.75">
      <c r="A27" s="12" t="s">
        <v>3</v>
      </c>
      <c r="B27" s="13">
        <f>IF(C23="měsíc",B22/12,B22)</f>
        <v>0.015833333333333335</v>
      </c>
      <c r="C27" s="12" t="s">
        <v>153</v>
      </c>
    </row>
    <row r="28" ht="12.75"/>
    <row r="29" spans="1:2" ht="15.75">
      <c r="A29" s="1" t="s">
        <v>13</v>
      </c>
      <c r="B29" s="10" t="s">
        <v>23</v>
      </c>
    </row>
    <row r="30" spans="4:13" ht="13.5" thickBot="1">
      <c r="D30" s="78" t="s">
        <v>95</v>
      </c>
      <c r="E30" s="78"/>
      <c r="F30" s="78"/>
      <c r="G30" s="78"/>
      <c r="H30" s="71" t="s">
        <v>100</v>
      </c>
      <c r="I30" s="71"/>
      <c r="K30" s="75" t="s">
        <v>96</v>
      </c>
      <c r="L30" s="76"/>
      <c r="M30" s="76"/>
    </row>
    <row r="31" spans="1:13" ht="16.5" thickTop="1">
      <c r="A31" s="22" t="s">
        <v>159</v>
      </c>
      <c r="B31" s="22" t="s">
        <v>73</v>
      </c>
      <c r="C31" s="40" t="s">
        <v>74</v>
      </c>
      <c r="D31" s="41" t="s">
        <v>162</v>
      </c>
      <c r="E31" s="42" t="s">
        <v>163</v>
      </c>
      <c r="F31" s="42" t="s">
        <v>75</v>
      </c>
      <c r="G31" s="43" t="s">
        <v>164</v>
      </c>
      <c r="H31" s="41" t="s">
        <v>98</v>
      </c>
      <c r="I31" s="44" t="s">
        <v>61</v>
      </c>
      <c r="K31" s="45" t="s">
        <v>39</v>
      </c>
      <c r="L31" s="13">
        <f>ROUND(SQRT(2*B23*B21*H42),0)</f>
        <v>77772</v>
      </c>
      <c r="M31" s="12" t="s">
        <v>25</v>
      </c>
    </row>
    <row r="32" spans="1:13" ht="12.75">
      <c r="A32" s="13">
        <v>1</v>
      </c>
      <c r="B32" s="13">
        <v>11000</v>
      </c>
      <c r="C32" s="35">
        <v>62</v>
      </c>
      <c r="D32" s="46">
        <f aca="true" t="shared" si="0" ref="D32:D41">ROUND(SQRT((2*B32*$B$21)/($B$23*C32*$B$27)),0)</f>
        <v>1497</v>
      </c>
      <c r="E32" s="13">
        <f aca="true" t="shared" si="1" ref="E32:E41">ROUND((D32/2)*$B$23*C32*$B$27+(B32/D32)*$B$21,0)</f>
        <v>17635</v>
      </c>
      <c r="F32" s="13">
        <f>ROUND(B32/D32,0)</f>
        <v>7</v>
      </c>
      <c r="G32" s="13">
        <f>ROUND($B$23/F32*30,0)</f>
        <v>51</v>
      </c>
      <c r="H32" s="47">
        <f>B32*C32*$B$27</f>
        <v>10798.333333333334</v>
      </c>
      <c r="I32" s="48">
        <f aca="true" t="shared" si="2" ref="I32:I41">ROUND(B32*$L$32/($B$23*30),0)</f>
        <v>336</v>
      </c>
      <c r="K32" s="45" t="s">
        <v>97</v>
      </c>
      <c r="L32" s="13">
        <f>ROUND(30*SQRT(2*B23*B21/H42),0)</f>
        <v>11</v>
      </c>
      <c r="M32" s="12" t="s">
        <v>27</v>
      </c>
    </row>
    <row r="33" spans="1:13" ht="12.75">
      <c r="A33" s="13">
        <v>2</v>
      </c>
      <c r="B33" s="13">
        <v>56</v>
      </c>
      <c r="C33" s="35">
        <v>1450</v>
      </c>
      <c r="D33" s="46">
        <f t="shared" si="0"/>
        <v>22</v>
      </c>
      <c r="E33" s="13">
        <f t="shared" si="1"/>
        <v>6085</v>
      </c>
      <c r="F33" s="13">
        <f aca="true" t="shared" si="3" ref="F33:F41">ROUND(B33/D33,0)</f>
        <v>3</v>
      </c>
      <c r="G33" s="13">
        <f aca="true" t="shared" si="4" ref="G33:G41">ROUND($B$23/F33*30,0)</f>
        <v>120</v>
      </c>
      <c r="H33" s="47">
        <f aca="true" t="shared" si="5" ref="H33:H41">B33*C33*$B$27</f>
        <v>1285.6666666666667</v>
      </c>
      <c r="I33" s="48">
        <f t="shared" si="2"/>
        <v>2</v>
      </c>
      <c r="K33" s="45" t="s">
        <v>82</v>
      </c>
      <c r="L33" s="13">
        <f>ROUND(365/L32,0)</f>
        <v>33</v>
      </c>
      <c r="M33" s="12" t="s">
        <v>99</v>
      </c>
    </row>
    <row r="34" spans="1:9" ht="12.75">
      <c r="A34" s="13">
        <v>3</v>
      </c>
      <c r="B34" s="13">
        <v>785</v>
      </c>
      <c r="C34" s="35">
        <v>185</v>
      </c>
      <c r="D34" s="46">
        <f t="shared" si="0"/>
        <v>232</v>
      </c>
      <c r="E34" s="13">
        <f t="shared" si="1"/>
        <v>8138</v>
      </c>
      <c r="F34" s="13">
        <f t="shared" si="3"/>
        <v>3</v>
      </c>
      <c r="G34" s="13">
        <f t="shared" si="4"/>
        <v>120</v>
      </c>
      <c r="H34" s="47">
        <f t="shared" si="5"/>
        <v>2299.3958333333335</v>
      </c>
      <c r="I34" s="48">
        <f t="shared" si="2"/>
        <v>24</v>
      </c>
    </row>
    <row r="35" spans="1:9" ht="12.75">
      <c r="A35" s="13">
        <v>4</v>
      </c>
      <c r="B35" s="13">
        <v>195000</v>
      </c>
      <c r="C35" s="35">
        <v>7</v>
      </c>
      <c r="D35" s="46">
        <f t="shared" si="0"/>
        <v>18758</v>
      </c>
      <c r="E35" s="13">
        <f t="shared" si="1"/>
        <v>24949</v>
      </c>
      <c r="F35" s="13">
        <f t="shared" si="3"/>
        <v>10</v>
      </c>
      <c r="G35" s="13">
        <f t="shared" si="4"/>
        <v>36</v>
      </c>
      <c r="H35" s="47">
        <f t="shared" si="5"/>
        <v>21612.500000000004</v>
      </c>
      <c r="I35" s="48">
        <f t="shared" si="2"/>
        <v>5958</v>
      </c>
    </row>
    <row r="36" spans="1:9" ht="12.75">
      <c r="A36" s="13">
        <v>5</v>
      </c>
      <c r="B36" s="13">
        <v>386</v>
      </c>
      <c r="C36" s="35">
        <v>245</v>
      </c>
      <c r="D36" s="46">
        <f t="shared" si="0"/>
        <v>141</v>
      </c>
      <c r="E36" s="13">
        <f t="shared" si="1"/>
        <v>6567</v>
      </c>
      <c r="F36" s="13">
        <f t="shared" si="3"/>
        <v>3</v>
      </c>
      <c r="G36" s="13">
        <f t="shared" si="4"/>
        <v>120</v>
      </c>
      <c r="H36" s="47">
        <f t="shared" si="5"/>
        <v>1497.3583333333333</v>
      </c>
      <c r="I36" s="48">
        <f t="shared" si="2"/>
        <v>12</v>
      </c>
    </row>
    <row r="37" spans="1:9" ht="12.75">
      <c r="A37" s="13">
        <v>6</v>
      </c>
      <c r="B37" s="13">
        <v>38</v>
      </c>
      <c r="C37" s="35">
        <v>13800</v>
      </c>
      <c r="D37" s="46">
        <f t="shared" si="0"/>
        <v>6</v>
      </c>
      <c r="E37" s="13">
        <f t="shared" si="1"/>
        <v>15466</v>
      </c>
      <c r="F37" s="13">
        <f t="shared" si="3"/>
        <v>6</v>
      </c>
      <c r="G37" s="13">
        <f t="shared" si="4"/>
        <v>60</v>
      </c>
      <c r="H37" s="47">
        <f t="shared" si="5"/>
        <v>8303</v>
      </c>
      <c r="I37" s="48">
        <f t="shared" si="2"/>
        <v>1</v>
      </c>
    </row>
    <row r="38" spans="1:9" ht="12.75">
      <c r="A38" s="13">
        <v>7</v>
      </c>
      <c r="B38" s="13">
        <v>6400</v>
      </c>
      <c r="C38" s="35">
        <v>655</v>
      </c>
      <c r="D38" s="46">
        <f t="shared" si="0"/>
        <v>351</v>
      </c>
      <c r="E38" s="13">
        <f t="shared" si="1"/>
        <v>43721</v>
      </c>
      <c r="F38" s="13">
        <f t="shared" si="3"/>
        <v>18</v>
      </c>
      <c r="G38" s="13">
        <f t="shared" si="4"/>
        <v>20</v>
      </c>
      <c r="H38" s="47">
        <f t="shared" si="5"/>
        <v>66373.33333333334</v>
      </c>
      <c r="I38" s="48">
        <f t="shared" si="2"/>
        <v>196</v>
      </c>
    </row>
    <row r="39" spans="1:9" ht="12.75">
      <c r="A39" s="13">
        <v>8</v>
      </c>
      <c r="B39" s="13">
        <v>1350</v>
      </c>
      <c r="C39" s="35">
        <v>2350</v>
      </c>
      <c r="D39" s="46">
        <f t="shared" si="0"/>
        <v>85</v>
      </c>
      <c r="E39" s="13">
        <f t="shared" si="1"/>
        <v>38035</v>
      </c>
      <c r="F39" s="13">
        <f t="shared" si="3"/>
        <v>16</v>
      </c>
      <c r="G39" s="13">
        <f t="shared" si="4"/>
        <v>23</v>
      </c>
      <c r="H39" s="47">
        <f t="shared" si="5"/>
        <v>50231.25000000001</v>
      </c>
      <c r="I39" s="48">
        <f t="shared" si="2"/>
        <v>41</v>
      </c>
    </row>
    <row r="40" spans="1:9" ht="12.75">
      <c r="A40" s="13">
        <v>9</v>
      </c>
      <c r="B40" s="13">
        <v>2350</v>
      </c>
      <c r="C40" s="35">
        <v>895</v>
      </c>
      <c r="D40" s="46">
        <f t="shared" si="0"/>
        <v>182</v>
      </c>
      <c r="E40" s="13">
        <f t="shared" si="1"/>
        <v>30969</v>
      </c>
      <c r="F40" s="13">
        <f t="shared" si="3"/>
        <v>13</v>
      </c>
      <c r="G40" s="13">
        <f t="shared" si="4"/>
        <v>28</v>
      </c>
      <c r="H40" s="47">
        <f t="shared" si="5"/>
        <v>33301.458333333336</v>
      </c>
      <c r="I40" s="48">
        <f t="shared" si="2"/>
        <v>72</v>
      </c>
    </row>
    <row r="41" spans="1:9" ht="13.5" thickBot="1">
      <c r="A41" s="13">
        <v>10</v>
      </c>
      <c r="B41" s="13">
        <v>452000</v>
      </c>
      <c r="C41" s="35">
        <v>2</v>
      </c>
      <c r="D41" s="56">
        <f t="shared" si="0"/>
        <v>53430</v>
      </c>
      <c r="E41" s="57">
        <f t="shared" si="1"/>
        <v>20303</v>
      </c>
      <c r="F41" s="57">
        <f t="shared" si="3"/>
        <v>8</v>
      </c>
      <c r="G41" s="57">
        <f t="shared" si="4"/>
        <v>45</v>
      </c>
      <c r="H41" s="58">
        <f t="shared" si="5"/>
        <v>14313.333333333334</v>
      </c>
      <c r="I41" s="49">
        <f t="shared" si="2"/>
        <v>13811</v>
      </c>
    </row>
    <row r="42" spans="4:8" ht="13.5" thickTop="1">
      <c r="D42" s="53" t="s">
        <v>76</v>
      </c>
      <c r="E42" s="53">
        <f>SUM(E32:E41)</f>
        <v>211868</v>
      </c>
      <c r="F42" s="53">
        <f>SUM(F32:F41)</f>
        <v>87</v>
      </c>
      <c r="G42" s="54"/>
      <c r="H42" s="55">
        <f>SUM(H32:H41)</f>
        <v>210015.6291666667</v>
      </c>
    </row>
    <row r="44" spans="1:2" ht="12.75">
      <c r="A44" s="1" t="s">
        <v>37</v>
      </c>
      <c r="B44" s="10" t="s">
        <v>174</v>
      </c>
    </row>
    <row r="45" spans="1:3" ht="12.75">
      <c r="A45" s="50" t="s">
        <v>175</v>
      </c>
      <c r="B45" s="22" t="s">
        <v>178</v>
      </c>
      <c r="C45" s="22" t="s">
        <v>179</v>
      </c>
    </row>
    <row r="46" spans="1:3" ht="12.75">
      <c r="A46" s="12" t="s">
        <v>176</v>
      </c>
      <c r="B46" s="20">
        <f>E42</f>
        <v>211868</v>
      </c>
      <c r="C46" s="20">
        <f>L31</f>
        <v>77772</v>
      </c>
    </row>
    <row r="47" spans="1:3" ht="12.75">
      <c r="A47" s="12" t="s">
        <v>177</v>
      </c>
      <c r="B47" s="20">
        <v>0</v>
      </c>
      <c r="C47" s="20">
        <f>H42/B27*B24</f>
        <v>132641.45</v>
      </c>
    </row>
    <row r="48" spans="1:3" ht="12.75">
      <c r="A48" s="51" t="s">
        <v>132</v>
      </c>
      <c r="B48" s="52">
        <f>B47+B46</f>
        <v>211868</v>
      </c>
      <c r="C48" s="52">
        <f>C47+C46</f>
        <v>210413.45</v>
      </c>
    </row>
    <row r="50" spans="1:2" ht="12.75">
      <c r="A50" s="1" t="s">
        <v>45</v>
      </c>
      <c r="B50" s="10" t="s">
        <v>182</v>
      </c>
    </row>
    <row r="51" spans="1:2" ht="12.75">
      <c r="A51" s="6"/>
      <c r="B51" s="10"/>
    </row>
    <row r="52" spans="1:3" ht="12.75">
      <c r="A52" s="77" t="s">
        <v>183</v>
      </c>
      <c r="B52" s="77"/>
      <c r="C52" s="77"/>
    </row>
    <row r="53" spans="1:3" ht="12.75">
      <c r="A53" s="77" t="str">
        <f>IF(C48&lt;B48,"ANO","NE")</f>
        <v>ANO</v>
      </c>
      <c r="B53" s="77"/>
      <c r="C53" s="77"/>
    </row>
  </sheetData>
  <mergeCells count="6">
    <mergeCell ref="B1:G6"/>
    <mergeCell ref="K30:M30"/>
    <mergeCell ref="A52:C52"/>
    <mergeCell ref="A53:C53"/>
    <mergeCell ref="D30:G30"/>
    <mergeCell ref="H30:I30"/>
  </mergeCells>
  <printOptions/>
  <pageMargins left="0.75" right="0.75" top="1" bottom="1" header="0.4921259845" footer="0.492125984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VŠCHT v Praze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dyntarj</dc:creator>
  <cp:keywords/>
  <dc:description/>
  <cp:lastModifiedBy>dyntarj</cp:lastModifiedBy>
  <dcterms:created xsi:type="dcterms:W3CDTF">2007-03-07T10:20:19Z</dcterms:created>
  <dcterms:modified xsi:type="dcterms:W3CDTF">2008-09-01T11:26:34Z</dcterms:modified>
  <cp:category/>
  <cp:version/>
  <cp:contentType/>
  <cp:contentStatus/>
</cp:coreProperties>
</file>